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555" yWindow="405" windowWidth="15480" windowHeight="10155" tabRatio="1000"/>
  </bookViews>
  <sheets>
    <sheet name="Intro" sheetId="1" r:id="rId1"/>
    <sheet name="Inputs" sheetId="2" r:id="rId2"/>
    <sheet name="Shares" sheetId="3" r:id="rId3"/>
    <sheet name="Cash Summary" sheetId="4" r:id="rId4"/>
    <sheet name="Cash Sensitivity" sheetId="5" r:id="rId5"/>
    <sheet name="Share Summary" sheetId="6" r:id="rId6"/>
    <sheet name="Share Sensitivity" sheetId="7" r:id="rId7"/>
    <sheet name="Data Sources" sheetId="8" r:id="rId8"/>
  </sheets>
  <definedNames>
    <definedName name="_xlnm.Print_Area" localSheetId="4">'Cash Sensitivity'!$A$1:$K$64</definedName>
    <definedName name="_xlnm.Print_Area" localSheetId="3">'Cash Summary'!$A$1:$H$87</definedName>
    <definedName name="_xlnm.Print_Area" localSheetId="7">'Data Sources'!$A$1:$J$93</definedName>
    <definedName name="_xlnm.Print_Area" localSheetId="1">Inputs!$A$1:$J$181</definedName>
    <definedName name="_xlnm.Print_Area" localSheetId="6">'Share Sensitivity'!$A$1:$J$193</definedName>
    <definedName name="_xlnm.Print_Area" localSheetId="5">'Share Summary'!$A$1:$H$126</definedName>
    <definedName name="_xlnm.Print_Area" localSheetId="2">Shares!$A$1:$F$36</definedName>
  </definedNames>
  <calcPr calcId="125725"/>
</workbook>
</file>

<file path=xl/calcChain.xml><?xml version="1.0" encoding="utf-8"?>
<calcChain xmlns="http://schemas.openxmlformats.org/spreadsheetml/2006/main">
  <c r="H151" i="2"/>
  <c r="H11" i="5"/>
  <c r="I41"/>
  <c r="H41"/>
  <c r="G41"/>
  <c r="F41"/>
  <c r="E41"/>
  <c r="E11"/>
  <c r="I11"/>
  <c r="G11"/>
  <c r="F11"/>
  <c r="I44"/>
  <c r="H44"/>
  <c r="G44"/>
  <c r="F44"/>
  <c r="E44"/>
  <c r="I43"/>
  <c r="H43"/>
  <c r="G43"/>
  <c r="F43"/>
  <c r="E43"/>
  <c r="I42"/>
  <c r="H42"/>
  <c r="G42"/>
  <c r="F42"/>
  <c r="E42"/>
  <c r="I14"/>
  <c r="H14"/>
  <c r="G14"/>
  <c r="F14"/>
  <c r="E14"/>
  <c r="I13"/>
  <c r="H13"/>
  <c r="G13"/>
  <c r="F13"/>
  <c r="E13"/>
  <c r="I12"/>
  <c r="H12"/>
  <c r="G12"/>
  <c r="F12"/>
  <c r="E12"/>
  <c r="D64"/>
  <c r="D63"/>
  <c r="D62"/>
  <c r="D61"/>
  <c r="D60"/>
  <c r="D59"/>
  <c r="D58"/>
  <c r="D57"/>
  <c r="D56"/>
  <c r="D55"/>
  <c r="D54"/>
  <c r="D53"/>
  <c r="D52"/>
  <c r="D51"/>
  <c r="D50"/>
  <c r="D49"/>
  <c r="D48"/>
  <c r="D47"/>
  <c r="D46"/>
  <c r="D45"/>
  <c r="D34"/>
  <c r="D33"/>
  <c r="D32"/>
  <c r="D31"/>
  <c r="D30"/>
  <c r="D29"/>
  <c r="D28"/>
  <c r="D27"/>
  <c r="D26"/>
  <c r="D25"/>
  <c r="D24"/>
  <c r="D23"/>
  <c r="D22"/>
  <c r="D21"/>
  <c r="D20"/>
  <c r="D19"/>
  <c r="D18"/>
  <c r="D17"/>
  <c r="D16"/>
  <c r="D15"/>
  <c r="A4"/>
  <c r="A3"/>
  <c r="C64"/>
  <c r="C63"/>
  <c r="C62"/>
  <c r="C61"/>
  <c r="C60"/>
  <c r="C59"/>
  <c r="C58"/>
  <c r="C57"/>
  <c r="C56"/>
  <c r="C55"/>
  <c r="C54"/>
  <c r="C53"/>
  <c r="C52"/>
  <c r="C51"/>
  <c r="C50"/>
  <c r="C49"/>
  <c r="C48"/>
  <c r="C47"/>
  <c r="C46"/>
  <c r="C45"/>
  <c r="D44"/>
  <c r="D43"/>
  <c r="D42"/>
  <c r="D41"/>
  <c r="F149"/>
  <c r="F148"/>
  <c r="F147"/>
  <c r="F146"/>
  <c r="E149"/>
  <c r="E148"/>
  <c r="E147"/>
  <c r="E146"/>
  <c r="C34"/>
  <c r="C33"/>
  <c r="C32"/>
  <c r="C31"/>
  <c r="C30"/>
  <c r="C29"/>
  <c r="C28"/>
  <c r="C27"/>
  <c r="C26"/>
  <c r="C25"/>
  <c r="C24"/>
  <c r="C23"/>
  <c r="C22"/>
  <c r="C21"/>
  <c r="C20"/>
  <c r="C19"/>
  <c r="C18"/>
  <c r="C17"/>
  <c r="C16"/>
  <c r="C15"/>
  <c r="D14"/>
  <c r="D13"/>
  <c r="D12"/>
  <c r="D11"/>
  <c r="J12" i="2"/>
  <c r="E125"/>
  <c r="D14" i="4"/>
  <c r="F125" i="2"/>
  <c r="E14" i="4"/>
  <c r="D39"/>
  <c r="D40"/>
  <c r="D42"/>
  <c r="D43"/>
  <c r="E59" i="2"/>
  <c r="E64"/>
  <c r="E111"/>
  <c r="D57" i="4"/>
  <c r="E29" i="2"/>
  <c r="E38"/>
  <c r="D48" i="4"/>
  <c r="E49" i="2"/>
  <c r="D49" i="4"/>
  <c r="E85" i="2"/>
  <c r="D53" i="4"/>
  <c r="E104" i="2"/>
  <c r="D56" i="4"/>
  <c r="C39"/>
  <c r="C40"/>
  <c r="C42"/>
  <c r="C43"/>
  <c r="E133" i="2"/>
  <c r="E139"/>
  <c r="E140"/>
  <c r="E141"/>
  <c r="E142"/>
  <c r="E39" i="4"/>
  <c r="E40"/>
  <c r="E41"/>
  <c r="E44" s="1"/>
  <c r="E42"/>
  <c r="E43"/>
  <c r="F134" i="2"/>
  <c r="F140"/>
  <c r="F141"/>
  <c r="F142"/>
  <c r="B39" i="4"/>
  <c r="B40"/>
  <c r="B41" s="1"/>
  <c r="G41" s="1"/>
  <c r="B42"/>
  <c r="B43"/>
  <c r="F59" i="2"/>
  <c r="F64"/>
  <c r="F111"/>
  <c r="F29"/>
  <c r="F49"/>
  <c r="E49" i="4"/>
  <c r="F85" i="2"/>
  <c r="E53" i="4"/>
  <c r="F104" i="2"/>
  <c r="E56" i="4"/>
  <c r="F57" i="2"/>
  <c r="E50" i="4"/>
  <c r="E36"/>
  <c r="D36"/>
  <c r="C36"/>
  <c r="B36"/>
  <c r="D47"/>
  <c r="D51"/>
  <c r="E47"/>
  <c r="E72"/>
  <c r="D72"/>
  <c r="C72"/>
  <c r="B72"/>
  <c r="E67"/>
  <c r="D67"/>
  <c r="C67"/>
  <c r="B67"/>
  <c r="E62"/>
  <c r="D62"/>
  <c r="C62"/>
  <c r="B62"/>
  <c r="E46"/>
  <c r="D46"/>
  <c r="C46"/>
  <c r="B46"/>
  <c r="E38"/>
  <c r="D38"/>
  <c r="C38"/>
  <c r="B38"/>
  <c r="E35"/>
  <c r="D35"/>
  <c r="C35"/>
  <c r="B35"/>
  <c r="E23"/>
  <c r="D23"/>
  <c r="C23"/>
  <c r="B23"/>
  <c r="E19"/>
  <c r="D19"/>
  <c r="C19"/>
  <c r="B19"/>
  <c r="E13"/>
  <c r="D13"/>
  <c r="C13"/>
  <c r="B13"/>
  <c r="E9"/>
  <c r="D9"/>
  <c r="C9"/>
  <c r="B9"/>
  <c r="E6"/>
  <c r="D6"/>
  <c r="C6"/>
  <c r="B6"/>
  <c r="A33"/>
  <c r="A4"/>
  <c r="A32"/>
  <c r="A3"/>
  <c r="B7"/>
  <c r="C7"/>
  <c r="E7"/>
  <c r="D7"/>
  <c r="G7" s="1"/>
  <c r="E125"/>
  <c r="D125"/>
  <c r="A43"/>
  <c r="C125"/>
  <c r="B125"/>
  <c r="E57"/>
  <c r="E115" i="2"/>
  <c r="D10" i="4"/>
  <c r="D11" s="1"/>
  <c r="F115" i="2"/>
  <c r="E58" i="4"/>
  <c r="C57" i="2"/>
  <c r="B50" i="4"/>
  <c r="D57" i="2"/>
  <c r="C22" i="6"/>
  <c r="C129" i="2"/>
  <c r="B15" i="4"/>
  <c r="D129" i="2"/>
  <c r="C15" i="4"/>
  <c r="D38" i="2"/>
  <c r="C48" i="4"/>
  <c r="C38" i="2"/>
  <c r="B48" i="4"/>
  <c r="C68" i="2"/>
  <c r="B52" i="4"/>
  <c r="D68" i="2"/>
  <c r="C52" i="4"/>
  <c r="D97" i="2"/>
  <c r="C55" i="4"/>
  <c r="C85" i="2"/>
  <c r="B53" i="4"/>
  <c r="D85" i="2"/>
  <c r="C53" i="4"/>
  <c r="C104" i="2"/>
  <c r="B56" i="4"/>
  <c r="D104" i="2"/>
  <c r="C56" i="4"/>
  <c r="D29" i="2"/>
  <c r="C47" i="4"/>
  <c r="C29" i="2"/>
  <c r="B47" i="4"/>
  <c r="D59" i="2"/>
  <c r="D64"/>
  <c r="D92"/>
  <c r="C54" i="4"/>
  <c r="C92" i="2"/>
  <c r="B54" i="4"/>
  <c r="D49" i="2"/>
  <c r="C49" i="4"/>
  <c r="C49" i="2"/>
  <c r="B49" i="4"/>
  <c r="E253" i="2"/>
  <c r="E254"/>
  <c r="E255"/>
  <c r="F253"/>
  <c r="F254"/>
  <c r="C115"/>
  <c r="B58" i="4"/>
  <c r="C125" i="2"/>
  <c r="B14" i="4"/>
  <c r="B10"/>
  <c r="B11"/>
  <c r="B21" s="1"/>
  <c r="D125" i="2"/>
  <c r="C14" i="4"/>
  <c r="D115" i="2"/>
  <c r="C10" i="4"/>
  <c r="C59" i="2"/>
  <c r="C64"/>
  <c r="F38"/>
  <c r="F68"/>
  <c r="E52" i="4"/>
  <c r="F92" i="2"/>
  <c r="E54" i="4"/>
  <c r="F97" i="2"/>
  <c r="E55" i="4"/>
  <c r="C111" i="2"/>
  <c r="J111"/>
  <c r="D111"/>
  <c r="C57" i="4"/>
  <c r="C97" i="2"/>
  <c r="B55" i="4"/>
  <c r="G55" s="1"/>
  <c r="H55" s="1"/>
  <c r="E57" i="2"/>
  <c r="D22" i="6"/>
  <c r="E68" i="2"/>
  <c r="D52" i="4"/>
  <c r="E92" i="2"/>
  <c r="D54" i="4"/>
  <c r="E97" i="2"/>
  <c r="D55" i="4"/>
  <c r="D253" i="2"/>
  <c r="C253"/>
  <c r="H253"/>
  <c r="I151"/>
  <c r="H152"/>
  <c r="J152"/>
  <c r="I152"/>
  <c r="H153"/>
  <c r="I153"/>
  <c r="J153"/>
  <c r="G43" i="4"/>
  <c r="H43" s="1"/>
  <c r="G36"/>
  <c r="J13" i="2"/>
  <c r="J102"/>
  <c r="F136"/>
  <c r="E16"/>
  <c r="J67"/>
  <c r="J61"/>
  <c r="J62"/>
  <c r="J63"/>
  <c r="J60"/>
  <c r="C19"/>
  <c r="C22"/>
  <c r="D19"/>
  <c r="D22"/>
  <c r="E19"/>
  <c r="E22"/>
  <c r="F19"/>
  <c r="F22"/>
  <c r="F154"/>
  <c r="C154"/>
  <c r="C16"/>
  <c r="J124"/>
  <c r="D119"/>
  <c r="E119"/>
  <c r="F119"/>
  <c r="C119"/>
  <c r="J118"/>
  <c r="J114"/>
  <c r="F117"/>
  <c r="E117"/>
  <c r="D117"/>
  <c r="C117"/>
  <c r="F135"/>
  <c r="F137"/>
  <c r="F138"/>
  <c r="F139"/>
  <c r="F143"/>
  <c r="F144"/>
  <c r="F145"/>
  <c r="E134"/>
  <c r="E146"/>
  <c r="E135"/>
  <c r="E136"/>
  <c r="E137"/>
  <c r="E138"/>
  <c r="E143"/>
  <c r="E144"/>
  <c r="E145"/>
  <c r="D134"/>
  <c r="D135"/>
  <c r="D136"/>
  <c r="D137"/>
  <c r="D138"/>
  <c r="D139"/>
  <c r="D140"/>
  <c r="D141"/>
  <c r="D142"/>
  <c r="D143"/>
  <c r="D144"/>
  <c r="D145"/>
  <c r="D133"/>
  <c r="F133"/>
  <c r="F146"/>
  <c r="C134"/>
  <c r="C135"/>
  <c r="C136"/>
  <c r="C137"/>
  <c r="C138"/>
  <c r="C139"/>
  <c r="C140"/>
  <c r="C141"/>
  <c r="C142"/>
  <c r="C143"/>
  <c r="C144"/>
  <c r="C145"/>
  <c r="C133"/>
  <c r="D252"/>
  <c r="E252"/>
  <c r="F252"/>
  <c r="C252"/>
  <c r="J90"/>
  <c r="D123"/>
  <c r="E123"/>
  <c r="F123"/>
  <c r="C123"/>
  <c r="J108"/>
  <c r="J109"/>
  <c r="J110"/>
  <c r="J107"/>
  <c r="E129"/>
  <c r="D15" i="4"/>
  <c r="F129" i="2"/>
  <c r="J129"/>
  <c r="F127"/>
  <c r="E127"/>
  <c r="D127"/>
  <c r="C127"/>
  <c r="D16"/>
  <c r="F16"/>
  <c r="F66"/>
  <c r="E66"/>
  <c r="D66"/>
  <c r="C66"/>
  <c r="F113"/>
  <c r="E113"/>
  <c r="D113"/>
  <c r="C113"/>
  <c r="F87"/>
  <c r="E87"/>
  <c r="D87"/>
  <c r="C87"/>
  <c r="C70"/>
  <c r="F70"/>
  <c r="E70"/>
  <c r="D70"/>
  <c r="F31"/>
  <c r="E31"/>
  <c r="D31"/>
  <c r="C31"/>
  <c r="F131"/>
  <c r="E131"/>
  <c r="D131"/>
  <c r="C131"/>
  <c r="F99"/>
  <c r="E99"/>
  <c r="D99"/>
  <c r="C99"/>
  <c r="F106"/>
  <c r="E106"/>
  <c r="D106"/>
  <c r="C106"/>
  <c r="F51"/>
  <c r="E51"/>
  <c r="D51"/>
  <c r="C51"/>
  <c r="J49"/>
  <c r="J21"/>
  <c r="J20"/>
  <c r="J97"/>
  <c r="J68"/>
  <c r="J29"/>
  <c r="I134"/>
  <c r="I135"/>
  <c r="I136"/>
  <c r="I137"/>
  <c r="I138"/>
  <c r="I139"/>
  <c r="I140"/>
  <c r="I141"/>
  <c r="I142"/>
  <c r="I143"/>
  <c r="I144"/>
  <c r="I145"/>
  <c r="I133"/>
  <c r="A133"/>
  <c r="A145"/>
  <c r="A134"/>
  <c r="A135"/>
  <c r="A136"/>
  <c r="A137"/>
  <c r="A138"/>
  <c r="A139"/>
  <c r="A140"/>
  <c r="A141"/>
  <c r="A142"/>
  <c r="A143"/>
  <c r="A144"/>
  <c r="J101"/>
  <c r="J103"/>
  <c r="J100"/>
  <c r="J89"/>
  <c r="J91"/>
  <c r="J88"/>
  <c r="J96"/>
  <c r="J73"/>
  <c r="J74"/>
  <c r="J75"/>
  <c r="J76"/>
  <c r="J77"/>
  <c r="J78"/>
  <c r="J79"/>
  <c r="J80"/>
  <c r="J81"/>
  <c r="J82"/>
  <c r="J83"/>
  <c r="J84"/>
  <c r="J72"/>
  <c r="J33"/>
  <c r="J34"/>
  <c r="J35"/>
  <c r="J36"/>
  <c r="J128"/>
  <c r="J37"/>
  <c r="J32"/>
  <c r="J56"/>
  <c r="J53"/>
  <c r="J54"/>
  <c r="J55"/>
  <c r="J52"/>
  <c r="J42"/>
  <c r="J43"/>
  <c r="J44"/>
  <c r="J45"/>
  <c r="J46"/>
  <c r="J47"/>
  <c r="J48"/>
  <c r="J41"/>
  <c r="D94"/>
  <c r="E94"/>
  <c r="F94"/>
  <c r="C94"/>
  <c r="D40"/>
  <c r="E40"/>
  <c r="F40"/>
  <c r="C40"/>
  <c r="D26"/>
  <c r="E26"/>
  <c r="F26"/>
  <c r="C26"/>
  <c r="J145"/>
  <c r="J144"/>
  <c r="J143"/>
  <c r="J142"/>
  <c r="J141"/>
  <c r="J140"/>
  <c r="J139"/>
  <c r="J138"/>
  <c r="J137"/>
  <c r="J136"/>
  <c r="J135"/>
  <c r="J134"/>
  <c r="J119"/>
  <c r="G355" i="7"/>
  <c r="F355" s="1"/>
  <c r="G356"/>
  <c r="E356" s="1"/>
  <c r="F356"/>
  <c r="G357"/>
  <c r="F357"/>
  <c r="G358"/>
  <c r="E358"/>
  <c r="D78"/>
  <c r="F349"/>
  <c r="D82"/>
  <c r="D86"/>
  <c r="D90"/>
  <c r="D74"/>
  <c r="D45"/>
  <c r="D46"/>
  <c r="F350"/>
  <c r="D115"/>
  <c r="D116"/>
  <c r="D117"/>
  <c r="D118"/>
  <c r="F351"/>
  <c r="F352"/>
  <c r="D178"/>
  <c r="D182"/>
  <c r="D186"/>
  <c r="D190"/>
  <c r="D174"/>
  <c r="D15"/>
  <c r="D16"/>
  <c r="D17"/>
  <c r="D18"/>
  <c r="D149"/>
  <c r="D150"/>
  <c r="D153"/>
  <c r="D154"/>
  <c r="D157"/>
  <c r="D158"/>
  <c r="D161"/>
  <c r="D162"/>
  <c r="D145"/>
  <c r="D146"/>
  <c r="D119"/>
  <c r="D120"/>
  <c r="D123"/>
  <c r="D124"/>
  <c r="D127"/>
  <c r="D128"/>
  <c r="D131"/>
  <c r="D132"/>
  <c r="D49"/>
  <c r="D50"/>
  <c r="D53"/>
  <c r="D54"/>
  <c r="D57"/>
  <c r="D58"/>
  <c r="D61"/>
  <c r="D62"/>
  <c r="D23"/>
  <c r="D24"/>
  <c r="D19"/>
  <c r="D20"/>
  <c r="D27"/>
  <c r="D28"/>
  <c r="D31"/>
  <c r="D32"/>
  <c r="D193"/>
  <c r="C193"/>
  <c r="D192"/>
  <c r="C192"/>
  <c r="D191"/>
  <c r="C191"/>
  <c r="C190"/>
  <c r="D189"/>
  <c r="C189"/>
  <c r="D188"/>
  <c r="C188"/>
  <c r="D187"/>
  <c r="C187"/>
  <c r="C186"/>
  <c r="D185"/>
  <c r="C185"/>
  <c r="D184"/>
  <c r="C184"/>
  <c r="D183"/>
  <c r="C183"/>
  <c r="C182"/>
  <c r="D181"/>
  <c r="C181"/>
  <c r="D180"/>
  <c r="C180"/>
  <c r="D179"/>
  <c r="C179"/>
  <c r="C178"/>
  <c r="D177"/>
  <c r="C177"/>
  <c r="D176"/>
  <c r="C176"/>
  <c r="D175"/>
  <c r="C175"/>
  <c r="C174"/>
  <c r="D173"/>
  <c r="D172"/>
  <c r="D171"/>
  <c r="D170"/>
  <c r="D93"/>
  <c r="C93"/>
  <c r="D92"/>
  <c r="C92"/>
  <c r="D91"/>
  <c r="C91"/>
  <c r="C90"/>
  <c r="D89"/>
  <c r="C89"/>
  <c r="D88"/>
  <c r="C88"/>
  <c r="D87"/>
  <c r="C87"/>
  <c r="C86"/>
  <c r="D85"/>
  <c r="C85"/>
  <c r="D84"/>
  <c r="C84"/>
  <c r="D83"/>
  <c r="C83"/>
  <c r="C82"/>
  <c r="D81"/>
  <c r="C81"/>
  <c r="D80"/>
  <c r="C80"/>
  <c r="D79"/>
  <c r="C79"/>
  <c r="C78"/>
  <c r="D77"/>
  <c r="C77"/>
  <c r="D76"/>
  <c r="C76"/>
  <c r="D75"/>
  <c r="C75"/>
  <c r="C74"/>
  <c r="D73"/>
  <c r="D72"/>
  <c r="D71"/>
  <c r="D70"/>
  <c r="D163"/>
  <c r="D164"/>
  <c r="D159"/>
  <c r="D160"/>
  <c r="D155"/>
  <c r="D156"/>
  <c r="D151"/>
  <c r="D152"/>
  <c r="D147"/>
  <c r="D148"/>
  <c r="D133"/>
  <c r="D134"/>
  <c r="D129"/>
  <c r="D130"/>
  <c r="D125"/>
  <c r="D126"/>
  <c r="D121"/>
  <c r="D122"/>
  <c r="D63"/>
  <c r="D64"/>
  <c r="D59"/>
  <c r="D60"/>
  <c r="D55"/>
  <c r="D56"/>
  <c r="D51"/>
  <c r="D52"/>
  <c r="D47"/>
  <c r="D48"/>
  <c r="D33"/>
  <c r="D34"/>
  <c r="D29"/>
  <c r="D30"/>
  <c r="D25"/>
  <c r="D26"/>
  <c r="D21"/>
  <c r="D22"/>
  <c r="C134"/>
  <c r="C133"/>
  <c r="C132"/>
  <c r="C131"/>
  <c r="C130"/>
  <c r="C129"/>
  <c r="C128"/>
  <c r="C127"/>
  <c r="C126"/>
  <c r="C125"/>
  <c r="C124"/>
  <c r="C123"/>
  <c r="C122"/>
  <c r="C121"/>
  <c r="C120"/>
  <c r="C119"/>
  <c r="C118"/>
  <c r="C117"/>
  <c r="C116"/>
  <c r="C115"/>
  <c r="D114"/>
  <c r="D113"/>
  <c r="D112"/>
  <c r="D111"/>
  <c r="C34"/>
  <c r="C33"/>
  <c r="C32"/>
  <c r="C31"/>
  <c r="C30"/>
  <c r="C29"/>
  <c r="C28"/>
  <c r="C27"/>
  <c r="C26"/>
  <c r="C25"/>
  <c r="C24"/>
  <c r="C23"/>
  <c r="C22"/>
  <c r="C21"/>
  <c r="C20"/>
  <c r="C19"/>
  <c r="C18"/>
  <c r="C17"/>
  <c r="C16"/>
  <c r="C15"/>
  <c r="D14"/>
  <c r="D13"/>
  <c r="D12"/>
  <c r="D11"/>
  <c r="A4"/>
  <c r="A3"/>
  <c r="C64"/>
  <c r="C63"/>
  <c r="C62"/>
  <c r="C61"/>
  <c r="C60"/>
  <c r="C59"/>
  <c r="C58"/>
  <c r="C57"/>
  <c r="C56"/>
  <c r="C55"/>
  <c r="C54"/>
  <c r="C53"/>
  <c r="C52"/>
  <c r="C51"/>
  <c r="C50"/>
  <c r="C49"/>
  <c r="C48"/>
  <c r="C47"/>
  <c r="C46"/>
  <c r="C45"/>
  <c r="D44"/>
  <c r="D43"/>
  <c r="D42"/>
  <c r="D41"/>
  <c r="C164"/>
  <c r="C163"/>
  <c r="C162"/>
  <c r="C161"/>
  <c r="C160"/>
  <c r="C159"/>
  <c r="C158"/>
  <c r="C157"/>
  <c r="C156"/>
  <c r="C155"/>
  <c r="C154"/>
  <c r="C153"/>
  <c r="C152"/>
  <c r="C151"/>
  <c r="C150"/>
  <c r="C149"/>
  <c r="C148"/>
  <c r="C147"/>
  <c r="C146"/>
  <c r="C145"/>
  <c r="D144"/>
  <c r="D143"/>
  <c r="D142"/>
  <c r="D141"/>
  <c r="E352"/>
  <c r="E351"/>
  <c r="E350"/>
  <c r="E349"/>
  <c r="A104"/>
  <c r="A103"/>
  <c r="D77" i="6"/>
  <c r="G172" i="7"/>
  <c r="E116" i="3"/>
  <c r="D10" i="6"/>
  <c r="I13" i="7" s="1"/>
  <c r="G43"/>
  <c r="F143"/>
  <c r="E77" i="6"/>
  <c r="F173" i="7"/>
  <c r="H173"/>
  <c r="F116" i="3"/>
  <c r="E10" i="6"/>
  <c r="G14" i="7"/>
  <c r="F44"/>
  <c r="E114"/>
  <c r="H144"/>
  <c r="B77" i="6"/>
  <c r="G170" i="7" s="1"/>
  <c r="F170"/>
  <c r="C116" i="3"/>
  <c r="B10" i="6"/>
  <c r="F70" i="7"/>
  <c r="C77" i="6"/>
  <c r="H171" i="7"/>
  <c r="E171"/>
  <c r="F112"/>
  <c r="D116" i="3"/>
  <c r="C10" i="6"/>
  <c r="E71" i="7" s="1"/>
  <c r="B96" i="6"/>
  <c r="B85"/>
  <c r="B86"/>
  <c r="B87"/>
  <c r="B88"/>
  <c r="B90"/>
  <c r="B91"/>
  <c r="B92"/>
  <c r="B93"/>
  <c r="B94"/>
  <c r="B95"/>
  <c r="C96"/>
  <c r="C85"/>
  <c r="C86"/>
  <c r="C87"/>
  <c r="C88"/>
  <c r="C90"/>
  <c r="C91"/>
  <c r="C92"/>
  <c r="C93"/>
  <c r="C94"/>
  <c r="C95"/>
  <c r="B13"/>
  <c r="B11"/>
  <c r="B12" s="1"/>
  <c r="C127" i="3"/>
  <c r="B25" i="6"/>
  <c r="C128" i="3"/>
  <c r="B26" i="6"/>
  <c r="G26" s="1"/>
  <c r="H26" s="1"/>
  <c r="C130" i="3"/>
  <c r="B28" i="6"/>
  <c r="G28" s="1"/>
  <c r="H28" s="1"/>
  <c r="C13"/>
  <c r="C11"/>
  <c r="D127" i="3"/>
  <c r="C25" i="6"/>
  <c r="D128" i="3"/>
  <c r="C26" i="6"/>
  <c r="D130" i="3"/>
  <c r="C28" i="6"/>
  <c r="B34"/>
  <c r="C134" i="3"/>
  <c r="B35" i="6"/>
  <c r="D134" i="3"/>
  <c r="C35" i="6"/>
  <c r="D34"/>
  <c r="D38" s="1"/>
  <c r="E134" i="3"/>
  <c r="D35" i="6"/>
  <c r="E135" i="3"/>
  <c r="E34" i="6"/>
  <c r="E38" s="1"/>
  <c r="E47" s="1"/>
  <c r="F134" i="3"/>
  <c r="E35" i="6"/>
  <c r="F135" i="3"/>
  <c r="B48" i="6"/>
  <c r="C48"/>
  <c r="F124" i="3"/>
  <c r="E22" i="6"/>
  <c r="C78"/>
  <c r="C80"/>
  <c r="C81"/>
  <c r="C101"/>
  <c r="D78"/>
  <c r="D79" s="1"/>
  <c r="D80"/>
  <c r="D81"/>
  <c r="D85"/>
  <c r="D86"/>
  <c r="D87"/>
  <c r="D88"/>
  <c r="D89"/>
  <c r="D90"/>
  <c r="D91"/>
  <c r="D92"/>
  <c r="D93"/>
  <c r="D94"/>
  <c r="D95"/>
  <c r="D96"/>
  <c r="D101"/>
  <c r="D104" s="1"/>
  <c r="D113" s="1"/>
  <c r="E78"/>
  <c r="E80"/>
  <c r="E81"/>
  <c r="E85"/>
  <c r="E86"/>
  <c r="E87"/>
  <c r="E88"/>
  <c r="E90"/>
  <c r="E91"/>
  <c r="E92"/>
  <c r="E93"/>
  <c r="E94"/>
  <c r="E95"/>
  <c r="E96"/>
  <c r="E101"/>
  <c r="B78"/>
  <c r="B80"/>
  <c r="B81"/>
  <c r="B101"/>
  <c r="D11"/>
  <c r="D13"/>
  <c r="E117" i="3"/>
  <c r="D14" i="6"/>
  <c r="E118" i="3"/>
  <c r="D15" i="6"/>
  <c r="E121" i="3"/>
  <c r="D19" i="6"/>
  <c r="E122" i="3"/>
  <c r="D20" i="6"/>
  <c r="E123" i="3"/>
  <c r="D21" i="6"/>
  <c r="E124" i="3"/>
  <c r="E125"/>
  <c r="D23" i="6"/>
  <c r="E126" i="3"/>
  <c r="D24" i="6"/>
  <c r="E127" i="3"/>
  <c r="E128"/>
  <c r="D26" i="6"/>
  <c r="E129" i="3"/>
  <c r="D27" i="6"/>
  <c r="E130" i="3"/>
  <c r="D28" i="6"/>
  <c r="E131" i="3"/>
  <c r="D29" i="6"/>
  <c r="E11"/>
  <c r="E12"/>
  <c r="E13"/>
  <c r="F117" i="3"/>
  <c r="E14" i="6"/>
  <c r="F118" i="3"/>
  <c r="E15" i="6"/>
  <c r="F121" i="3"/>
  <c r="E19" i="6"/>
  <c r="F122" i="3"/>
  <c r="E20" i="6"/>
  <c r="F123" i="3"/>
  <c r="E21" i="6"/>
  <c r="F125" i="3"/>
  <c r="F126"/>
  <c r="E24" i="6"/>
  <c r="E234" s="1"/>
  <c r="E235" s="1"/>
  <c r="E30" s="1"/>
  <c r="E31" s="1"/>
  <c r="F127" i="3"/>
  <c r="E25" i="6"/>
  <c r="F128" i="3"/>
  <c r="E26" i="6"/>
  <c r="F129" i="3"/>
  <c r="E27" i="6"/>
  <c r="F130" i="3"/>
  <c r="E28" i="6"/>
  <c r="F131" i="3"/>
  <c r="E29" i="6"/>
  <c r="D48"/>
  <c r="E48"/>
  <c r="B74"/>
  <c r="C74"/>
  <c r="G74" s="1"/>
  <c r="D74"/>
  <c r="E74"/>
  <c r="B7"/>
  <c r="G19" s="1"/>
  <c r="H19" s="1"/>
  <c r="C7"/>
  <c r="D7"/>
  <c r="E7"/>
  <c r="G7"/>
  <c r="B241"/>
  <c r="C241"/>
  <c r="D241"/>
  <c r="E241"/>
  <c r="B248"/>
  <c r="C248"/>
  <c r="D248"/>
  <c r="E248"/>
  <c r="E117"/>
  <c r="D117"/>
  <c r="C117"/>
  <c r="B117"/>
  <c r="E111"/>
  <c r="D111"/>
  <c r="C111"/>
  <c r="B111"/>
  <c r="E120"/>
  <c r="D120"/>
  <c r="C120"/>
  <c r="B120"/>
  <c r="E106"/>
  <c r="D106"/>
  <c r="C106"/>
  <c r="B106"/>
  <c r="E100"/>
  <c r="D100"/>
  <c r="C100"/>
  <c r="B100"/>
  <c r="E84"/>
  <c r="D84"/>
  <c r="C84"/>
  <c r="B84"/>
  <c r="E76"/>
  <c r="D76"/>
  <c r="C76"/>
  <c r="B76"/>
  <c r="E73"/>
  <c r="D73"/>
  <c r="C73"/>
  <c r="B73"/>
  <c r="E52"/>
  <c r="D52"/>
  <c r="C52"/>
  <c r="B52"/>
  <c r="E45"/>
  <c r="D45"/>
  <c r="C45"/>
  <c r="B45"/>
  <c r="E55"/>
  <c r="D55"/>
  <c r="C55"/>
  <c r="B55"/>
  <c r="E40"/>
  <c r="D40"/>
  <c r="C40"/>
  <c r="B40"/>
  <c r="E33"/>
  <c r="D33"/>
  <c r="C33"/>
  <c r="B33"/>
  <c r="E18"/>
  <c r="D18"/>
  <c r="C18"/>
  <c r="B18"/>
  <c r="E9"/>
  <c r="D9"/>
  <c r="C9"/>
  <c r="B9"/>
  <c r="E6"/>
  <c r="D6"/>
  <c r="C6"/>
  <c r="B6"/>
  <c r="A71"/>
  <c r="A4"/>
  <c r="A70"/>
  <c r="A3"/>
  <c r="E227"/>
  <c r="D227"/>
  <c r="E233"/>
  <c r="D233"/>
  <c r="C233"/>
  <c r="B233"/>
  <c r="A15"/>
  <c r="A81"/>
  <c r="C227"/>
  <c r="B227"/>
  <c r="D118" i="3"/>
  <c r="C15" i="6"/>
  <c r="C118" i="3"/>
  <c r="B15" i="6"/>
  <c r="C117" i="3"/>
  <c r="B14" i="6"/>
  <c r="D117" i="3"/>
  <c r="C14" i="6"/>
  <c r="C121" i="3"/>
  <c r="B19" i="6"/>
  <c r="D121" i="3"/>
  <c r="C19" i="6"/>
  <c r="C234" s="1"/>
  <c r="C235" s="1"/>
  <c r="C30" s="1"/>
  <c r="D124" i="3"/>
  <c r="D125"/>
  <c r="D126"/>
  <c r="C24" i="6"/>
  <c r="C126" i="3"/>
  <c r="B24" i="6"/>
  <c r="C125" i="3"/>
  <c r="C124"/>
  <c r="B22" i="6"/>
  <c r="C122" i="3"/>
  <c r="B20" i="6"/>
  <c r="D122" i="3"/>
  <c r="C20" i="6"/>
  <c r="D123" i="3"/>
  <c r="C21" i="6"/>
  <c r="C123" i="3"/>
  <c r="B21" i="6"/>
  <c r="C129" i="3"/>
  <c r="B27" i="6"/>
  <c r="D129" i="3"/>
  <c r="C27" i="6"/>
  <c r="C131" i="3"/>
  <c r="D131"/>
  <c r="C29" i="6"/>
  <c r="G29" s="1"/>
  <c r="A11" i="3"/>
  <c r="B5"/>
  <c r="B4"/>
  <c r="B3"/>
  <c r="C135"/>
  <c r="D135"/>
  <c r="A118"/>
  <c r="A117"/>
  <c r="F133"/>
  <c r="E133"/>
  <c r="D133"/>
  <c r="C133"/>
  <c r="F120"/>
  <c r="E120"/>
  <c r="D120"/>
  <c r="C120"/>
  <c r="F115"/>
  <c r="E115"/>
  <c r="D115"/>
  <c r="C115"/>
  <c r="F26"/>
  <c r="E26"/>
  <c r="D26"/>
  <c r="C26"/>
  <c r="F13"/>
  <c r="E13"/>
  <c r="D13"/>
  <c r="C13"/>
  <c r="F8"/>
  <c r="E8"/>
  <c r="D8"/>
  <c r="C8"/>
  <c r="C146" i="2"/>
  <c r="B102" i="6"/>
  <c r="D146" i="2"/>
  <c r="C36" i="6"/>
  <c r="G42" i="4"/>
  <c r="H42"/>
  <c r="J133" i="2"/>
  <c r="E63" i="4"/>
  <c r="E65" s="1"/>
  <c r="E252" i="6" s="1"/>
  <c r="E102"/>
  <c r="E36"/>
  <c r="J64" i="2"/>
  <c r="B89" i="6"/>
  <c r="B228" s="1"/>
  <c r="G228" s="1"/>
  <c r="B23"/>
  <c r="B51" i="4"/>
  <c r="G51" s="1"/>
  <c r="H51" s="1"/>
  <c r="F255" i="2"/>
  <c r="F267"/>
  <c r="F256"/>
  <c r="F262"/>
  <c r="F263"/>
  <c r="F260"/>
  <c r="F266"/>
  <c r="G47" i="4"/>
  <c r="H47" s="1"/>
  <c r="G52"/>
  <c r="H52" s="1"/>
  <c r="C51"/>
  <c r="C89" i="6"/>
  <c r="C23"/>
  <c r="C31" s="1"/>
  <c r="E51" i="4"/>
  <c r="E89" i="6"/>
  <c r="E23"/>
  <c r="G14"/>
  <c r="H14" s="1"/>
  <c r="I71" i="7"/>
  <c r="F42"/>
  <c r="C12" i="6"/>
  <c r="C16" s="1"/>
  <c r="F71" i="7"/>
  <c r="H12"/>
  <c r="H42"/>
  <c r="E12"/>
  <c r="I42"/>
  <c r="F12"/>
  <c r="D63" i="4"/>
  <c r="D36" i="6"/>
  <c r="D102"/>
  <c r="C11" i="4"/>
  <c r="C102" i="6"/>
  <c r="G81"/>
  <c r="H81" s="1"/>
  <c r="E142" i="7"/>
  <c r="I142"/>
  <c r="H112"/>
  <c r="G171"/>
  <c r="I144"/>
  <c r="I114"/>
  <c r="H73"/>
  <c r="I44"/>
  <c r="E44"/>
  <c r="F14"/>
  <c r="E173"/>
  <c r="H143"/>
  <c r="G113"/>
  <c r="E72"/>
  <c r="G13"/>
  <c r="H172"/>
  <c r="H357"/>
  <c r="I356"/>
  <c r="C131" i="4"/>
  <c r="C132" s="1"/>
  <c r="C58"/>
  <c r="E126"/>
  <c r="E127" s="1"/>
  <c r="E59" s="1"/>
  <c r="D58"/>
  <c r="G58" s="1"/>
  <c r="H58" s="1"/>
  <c r="E15"/>
  <c r="E48"/>
  <c r="E60" s="1"/>
  <c r="I171" i="7"/>
  <c r="E13"/>
  <c r="E357"/>
  <c r="E260" i="2"/>
  <c r="G142" i="7"/>
  <c r="E112"/>
  <c r="I112"/>
  <c r="G73"/>
  <c r="H44"/>
  <c r="I14"/>
  <c r="I143"/>
  <c r="I113"/>
  <c r="I43"/>
  <c r="E172"/>
  <c r="G15" i="4"/>
  <c r="H15"/>
  <c r="I154" i="2"/>
  <c r="F261"/>
  <c r="J151"/>
  <c r="D254"/>
  <c r="D255"/>
  <c r="H154"/>
  <c r="J154"/>
  <c r="C63" i="4"/>
  <c r="J146" i="2"/>
  <c r="B36" i="6"/>
  <c r="F257" i="2"/>
  <c r="F268"/>
  <c r="F269"/>
  <c r="E266"/>
  <c r="J92"/>
  <c r="D131" i="4"/>
  <c r="D132" s="1"/>
  <c r="E131"/>
  <c r="E132" s="1"/>
  <c r="G86" i="6"/>
  <c r="H86" s="1"/>
  <c r="G144" i="7"/>
  <c r="G114"/>
  <c r="F73"/>
  <c r="I173"/>
  <c r="F358"/>
  <c r="F144"/>
  <c r="H114"/>
  <c r="C254" i="2"/>
  <c r="C266"/>
  <c r="H266"/>
  <c r="H254"/>
  <c r="D266"/>
  <c r="C260"/>
  <c r="C255"/>
  <c r="C267"/>
  <c r="B63" i="4"/>
  <c r="G63"/>
  <c r="H63" s="1"/>
  <c r="G36" i="6"/>
  <c r="H36" s="1"/>
  <c r="G102"/>
  <c r="H102" s="1"/>
  <c r="G54" i="4"/>
  <c r="H54" s="1"/>
  <c r="E256" i="2"/>
  <c r="E261"/>
  <c r="E267"/>
  <c r="H255"/>
  <c r="D261"/>
  <c r="D267"/>
  <c r="D260"/>
  <c r="H260"/>
  <c r="C261"/>
  <c r="C79" i="6"/>
  <c r="C82" s="1"/>
  <c r="H142" i="7"/>
  <c r="F171"/>
  <c r="F141"/>
  <c r="E170"/>
  <c r="F114"/>
  <c r="G44"/>
  <c r="H14"/>
  <c r="G173"/>
  <c r="G143"/>
  <c r="E113"/>
  <c r="I357"/>
  <c r="E79" i="6"/>
  <c r="E82"/>
  <c r="F142" i="7"/>
  <c r="G141"/>
  <c r="I111"/>
  <c r="E144"/>
  <c r="E73"/>
  <c r="E14"/>
  <c r="I141"/>
  <c r="I73"/>
  <c r="G56" i="4"/>
  <c r="H56"/>
  <c r="J104" i="2"/>
  <c r="G89" i="6"/>
  <c r="H89" s="1"/>
  <c r="D41" i="4"/>
  <c r="D44" s="1"/>
  <c r="C41"/>
  <c r="C44"/>
  <c r="F72" i="7"/>
  <c r="G72"/>
  <c r="H356"/>
  <c r="E41"/>
  <c r="H41"/>
  <c r="B29" i="6"/>
  <c r="B234"/>
  <c r="B235" s="1"/>
  <c r="F41" i="7"/>
  <c r="H70"/>
  <c r="I41"/>
  <c r="G70"/>
  <c r="H11"/>
  <c r="I70"/>
  <c r="H355"/>
  <c r="E11"/>
  <c r="E355"/>
  <c r="E257" i="2"/>
  <c r="E262"/>
  <c r="E263"/>
  <c r="D103" i="6"/>
  <c r="E268" i="2"/>
  <c r="E269"/>
  <c r="H261"/>
  <c r="H267"/>
  <c r="D64" i="4"/>
  <c r="D65"/>
  <c r="D256" i="2"/>
  <c r="C256"/>
  <c r="E16" i="4"/>
  <c r="E17" s="1"/>
  <c r="E37" i="6"/>
  <c r="D37"/>
  <c r="D16" i="4"/>
  <c r="D17" s="1"/>
  <c r="E64"/>
  <c r="E103" i="6"/>
  <c r="E104"/>
  <c r="E113" s="1"/>
  <c r="G14" i="4"/>
  <c r="H14" s="1"/>
  <c r="C34" i="6"/>
  <c r="J125" i="2"/>
  <c r="J115"/>
  <c r="E10" i="4"/>
  <c r="J85" i="2"/>
  <c r="D25" i="6"/>
  <c r="G25"/>
  <c r="H25" s="1"/>
  <c r="G53" i="4"/>
  <c r="H53" s="1"/>
  <c r="E228" i="6"/>
  <c r="E229" s="1"/>
  <c r="E97" s="1"/>
  <c r="D228"/>
  <c r="D229" s="1"/>
  <c r="D97" s="1"/>
  <c r="G22"/>
  <c r="H22" s="1"/>
  <c r="D50" i="4"/>
  <c r="G50" s="1"/>
  <c r="C50"/>
  <c r="J57" i="2"/>
  <c r="D126" i="4"/>
  <c r="D127"/>
  <c r="D59" s="1"/>
  <c r="D60" s="1"/>
  <c r="C126"/>
  <c r="C127"/>
  <c r="C59" s="1"/>
  <c r="C60" s="1"/>
  <c r="C79" s="1"/>
  <c r="C228" i="6"/>
  <c r="J38" i="2"/>
  <c r="D249" i="6"/>
  <c r="J22" i="2"/>
  <c r="B16" i="6"/>
  <c r="J19" i="2"/>
  <c r="B229" i="6"/>
  <c r="G11" i="7"/>
  <c r="I355"/>
  <c r="E70"/>
  <c r="B57" i="4"/>
  <c r="B126"/>
  <c r="B127"/>
  <c r="B59" s="1"/>
  <c r="B131"/>
  <c r="G131"/>
  <c r="I11" i="7"/>
  <c r="G41"/>
  <c r="D24" i="4"/>
  <c r="H256" i="2"/>
  <c r="C257"/>
  <c r="H257"/>
  <c r="C262"/>
  <c r="C268"/>
  <c r="D257"/>
  <c r="D268"/>
  <c r="D269"/>
  <c r="D262"/>
  <c r="D263"/>
  <c r="G34" i="6"/>
  <c r="H34" s="1"/>
  <c r="G10" i="4"/>
  <c r="G11" s="1"/>
  <c r="E11"/>
  <c r="H50"/>
  <c r="C103" i="6"/>
  <c r="C104"/>
  <c r="C113" s="1"/>
  <c r="C64" i="4"/>
  <c r="C65"/>
  <c r="C263" i="2"/>
  <c r="H262"/>
  <c r="C37" i="6"/>
  <c r="C38"/>
  <c r="C47" s="1"/>
  <c r="C16" i="4"/>
  <c r="C17" s="1"/>
  <c r="H268" i="2"/>
  <c r="C269"/>
  <c r="H10" i="4"/>
  <c r="B103" i="6"/>
  <c r="B104"/>
  <c r="B64" i="4"/>
  <c r="G64"/>
  <c r="H64" s="1"/>
  <c r="H263" i="2"/>
  <c r="B16" i="4"/>
  <c r="G16"/>
  <c r="H16" s="1"/>
  <c r="H269" i="2"/>
  <c r="B37" i="6"/>
  <c r="G103"/>
  <c r="H103" s="1"/>
  <c r="G37"/>
  <c r="H37" s="1"/>
  <c r="B38"/>
  <c r="B132" i="4"/>
  <c r="G132" s="1"/>
  <c r="G126"/>
  <c r="C250" i="6"/>
  <c r="G49" i="4"/>
  <c r="H49"/>
  <c r="C251" i="6"/>
  <c r="D252"/>
  <c r="D47"/>
  <c r="E16"/>
  <c r="C249"/>
  <c r="C253" s="1"/>
  <c r="B44" i="4"/>
  <c r="H41"/>
  <c r="B17"/>
  <c r="C229" i="6"/>
  <c r="C97" s="1"/>
  <c r="C98" s="1"/>
  <c r="H29"/>
  <c r="G91"/>
  <c r="H91"/>
  <c r="F11" i="7"/>
  <c r="G111"/>
  <c r="F113"/>
  <c r="F172"/>
  <c r="I358"/>
  <c r="H113"/>
  <c r="I172"/>
  <c r="H358"/>
  <c r="E143"/>
  <c r="B249" i="6"/>
  <c r="B24" i="4"/>
  <c r="B243" i="6"/>
  <c r="B20" i="4"/>
  <c r="B30" i="6"/>
  <c r="B31" s="1"/>
  <c r="C252"/>
  <c r="H11" i="4"/>
  <c r="C68"/>
  <c r="C77" s="1"/>
  <c r="C76"/>
  <c r="C69"/>
  <c r="D82" i="6"/>
  <c r="E138" i="4"/>
  <c r="G44"/>
  <c r="G249" i="6" s="1"/>
  <c r="E249"/>
  <c r="E70" i="4"/>
  <c r="C20"/>
  <c r="G17"/>
  <c r="G243" i="6" s="1"/>
  <c r="G127" i="4"/>
  <c r="D70"/>
  <c r="D68"/>
  <c r="D77" s="1"/>
  <c r="D69"/>
  <c r="D98" i="6"/>
  <c r="E243"/>
  <c r="E56"/>
  <c r="E43"/>
  <c r="E242" s="1"/>
  <c r="E42"/>
  <c r="E46"/>
  <c r="E49" s="1"/>
  <c r="E76" i="4"/>
  <c r="G87" i="6"/>
  <c r="H87"/>
  <c r="B65" i="4"/>
  <c r="D234" i="6"/>
  <c r="G112" i="7"/>
  <c r="G65" i="4"/>
  <c r="H65" s="1"/>
  <c r="B252" i="6"/>
  <c r="D235"/>
  <c r="C56"/>
  <c r="C59"/>
  <c r="G59" i="4"/>
  <c r="H59" s="1"/>
  <c r="E244" i="6"/>
  <c r="E53" s="1"/>
  <c r="C42"/>
  <c r="D121"/>
  <c r="D80" i="4"/>
  <c r="H17"/>
  <c r="C21"/>
  <c r="H44"/>
  <c r="E139"/>
  <c r="C80"/>
  <c r="D30" i="6"/>
  <c r="G252"/>
  <c r="D31"/>
  <c r="G30"/>
  <c r="H30"/>
  <c r="D59"/>
  <c r="D56"/>
  <c r="D41"/>
  <c r="D46"/>
  <c r="D49"/>
  <c r="D57"/>
  <c r="D60"/>
  <c r="B56" l="1"/>
  <c r="B59"/>
  <c r="B46"/>
  <c r="B43"/>
  <c r="B242" s="1"/>
  <c r="B41"/>
  <c r="G31"/>
  <c r="B244"/>
  <c r="B53" s="1"/>
  <c r="C124"/>
  <c r="C121"/>
  <c r="C107"/>
  <c r="C108"/>
  <c r="C112"/>
  <c r="C114" s="1"/>
  <c r="D107"/>
  <c r="D112"/>
  <c r="D114" s="1"/>
  <c r="D124"/>
  <c r="B134" i="4"/>
  <c r="B138"/>
  <c r="B47" i="6"/>
  <c r="G47" s="1"/>
  <c r="H47" s="1"/>
  <c r="G38"/>
  <c r="H38" s="1"/>
  <c r="G104"/>
  <c r="H104" s="1"/>
  <c r="B113"/>
  <c r="G113" s="1"/>
  <c r="H113" s="1"/>
  <c r="B97"/>
  <c r="G229"/>
  <c r="E20" i="4"/>
  <c r="E21" s="1"/>
  <c r="E24"/>
  <c r="C41" i="6"/>
  <c r="C46"/>
  <c r="C49" s="1"/>
  <c r="C50" s="1"/>
  <c r="E69" i="4"/>
  <c r="E134"/>
  <c r="E140"/>
  <c r="E74" s="1"/>
  <c r="B42" i="6"/>
  <c r="G235"/>
  <c r="E98"/>
  <c r="D109"/>
  <c r="D254" s="1"/>
  <c r="D108"/>
  <c r="C243"/>
  <c r="C24" i="4"/>
  <c r="G57"/>
  <c r="H57" s="1"/>
  <c r="B60"/>
  <c r="B69" s="1"/>
  <c r="D79"/>
  <c r="D76"/>
  <c r="D243" i="6"/>
  <c r="D20" i="4"/>
  <c r="D138"/>
  <c r="D134"/>
  <c r="E68"/>
  <c r="E79"/>
  <c r="E59" i="6"/>
  <c r="E41"/>
  <c r="G20" i="4"/>
  <c r="H20" s="1"/>
  <c r="C138"/>
  <c r="C109" i="6"/>
  <c r="C254" s="1"/>
  <c r="C255" s="1"/>
  <c r="C118" s="1"/>
  <c r="C43"/>
  <c r="C242" s="1"/>
  <c r="B250"/>
  <c r="B251" s="1"/>
  <c r="D21" i="4"/>
  <c r="C134"/>
  <c r="G234" i="6"/>
  <c r="C70" i="4"/>
  <c r="D250" i="6"/>
  <c r="D251" s="1"/>
  <c r="E250"/>
  <c r="E251" s="1"/>
  <c r="G48" i="4"/>
  <c r="G20" i="6"/>
  <c r="H20" s="1"/>
  <c r="G88"/>
  <c r="H88" s="1"/>
  <c r="G21"/>
  <c r="H21" s="1"/>
  <c r="G95"/>
  <c r="H13" i="7"/>
  <c r="F13"/>
  <c r="H111"/>
  <c r="E141"/>
  <c r="H170"/>
  <c r="E111"/>
  <c r="G96" i="6"/>
  <c r="H96" s="1"/>
  <c r="G15"/>
  <c r="H15" s="1"/>
  <c r="G24"/>
  <c r="H24" s="1"/>
  <c r="G27"/>
  <c r="H27" s="1"/>
  <c r="G35"/>
  <c r="H35" s="1"/>
  <c r="I170" i="7"/>
  <c r="F111"/>
  <c r="B79" i="6"/>
  <c r="G93"/>
  <c r="H93" s="1"/>
  <c r="G80"/>
  <c r="G92"/>
  <c r="H92" s="1"/>
  <c r="G85"/>
  <c r="H85" s="1"/>
  <c r="G23"/>
  <c r="H23" s="1"/>
  <c r="E43" i="7"/>
  <c r="H72"/>
  <c r="G48" i="6"/>
  <c r="H48" s="1"/>
  <c r="G94"/>
  <c r="H94" s="1"/>
  <c r="F43" i="7"/>
  <c r="I72"/>
  <c r="E42"/>
  <c r="H71"/>
  <c r="I12"/>
  <c r="G71"/>
  <c r="G42"/>
  <c r="G12"/>
  <c r="G13" i="6"/>
  <c r="G101"/>
  <c r="H101" s="1"/>
  <c r="G90"/>
  <c r="H90" s="1"/>
  <c r="D12"/>
  <c r="D16" s="1"/>
  <c r="H141" i="7"/>
  <c r="H43"/>
  <c r="D42" i="6" l="1"/>
  <c r="G16"/>
  <c r="D43"/>
  <c r="D242" s="1"/>
  <c r="H23" i="7"/>
  <c r="H15"/>
  <c r="H19"/>
  <c r="H27"/>
  <c r="H31"/>
  <c r="C139" i="4"/>
  <c r="C140" s="1"/>
  <c r="C74" s="1"/>
  <c r="E77"/>
  <c r="E80"/>
  <c r="D139"/>
  <c r="D140" s="1"/>
  <c r="D74" s="1"/>
  <c r="E135"/>
  <c r="E136" s="1"/>
  <c r="E73" s="1"/>
  <c r="B139"/>
  <c r="G138"/>
  <c r="B140"/>
  <c r="D115" i="6"/>
  <c r="D50"/>
  <c r="C125"/>
  <c r="C122"/>
  <c r="B57"/>
  <c r="B60"/>
  <c r="B49"/>
  <c r="G46"/>
  <c r="G12"/>
  <c r="H12" s="1"/>
  <c r="D244"/>
  <c r="D53" s="1"/>
  <c r="C244"/>
  <c r="C53" s="1"/>
  <c r="C115"/>
  <c r="G31" i="7"/>
  <c r="G23"/>
  <c r="G27"/>
  <c r="G19"/>
  <c r="G15"/>
  <c r="H13" i="6"/>
  <c r="E23" i="7"/>
  <c r="E19"/>
  <c r="E15"/>
  <c r="E27"/>
  <c r="E31"/>
  <c r="I31"/>
  <c r="I19"/>
  <c r="I15"/>
  <c r="I23"/>
  <c r="I27"/>
  <c r="H80" i="6"/>
  <c r="B82"/>
  <c r="G79"/>
  <c r="H79" s="1"/>
  <c r="F19" i="7"/>
  <c r="F23"/>
  <c r="F15"/>
  <c r="F27"/>
  <c r="F31"/>
  <c r="H95" i="6"/>
  <c r="H48" i="4"/>
  <c r="G250" i="6"/>
  <c r="C136" i="4"/>
  <c r="C73" s="1"/>
  <c r="C135"/>
  <c r="E57" i="6"/>
  <c r="E60"/>
  <c r="D135" i="4"/>
  <c r="D136" s="1"/>
  <c r="D73" s="1"/>
  <c r="B76"/>
  <c r="B68"/>
  <c r="B79"/>
  <c r="G60"/>
  <c r="E112" i="6"/>
  <c r="E114" s="1"/>
  <c r="E121"/>
  <c r="E107"/>
  <c r="E124"/>
  <c r="E109"/>
  <c r="E254" s="1"/>
  <c r="E108"/>
  <c r="C60"/>
  <c r="C57"/>
  <c r="B98"/>
  <c r="G97"/>
  <c r="H97" s="1"/>
  <c r="B135" i="4"/>
  <c r="G135" s="1"/>
  <c r="G134"/>
  <c r="B136"/>
  <c r="D125" i="6"/>
  <c r="D122"/>
  <c r="H31"/>
  <c r="G41"/>
  <c r="H41" s="1"/>
  <c r="B253"/>
  <c r="D253"/>
  <c r="D255" s="1"/>
  <c r="D118" s="1"/>
  <c r="G21" i="4"/>
  <c r="H21" s="1"/>
  <c r="E253" i="6"/>
  <c r="E255" s="1"/>
  <c r="E118" s="1"/>
  <c r="B70" i="4"/>
  <c r="G31" i="5" l="1"/>
  <c r="F27"/>
  <c r="F19"/>
  <c r="E19"/>
  <c r="E31"/>
  <c r="G23"/>
  <c r="E27"/>
  <c r="H23"/>
  <c r="H31"/>
  <c r="E15"/>
  <c r="G19"/>
  <c r="I31"/>
  <c r="E23"/>
  <c r="G69" i="4"/>
  <c r="H69" s="1"/>
  <c r="G70"/>
  <c r="H70" s="1"/>
  <c r="G27" i="5"/>
  <c r="H19"/>
  <c r="I19"/>
  <c r="G68" i="4"/>
  <c r="F15" i="5"/>
  <c r="F23"/>
  <c r="I15"/>
  <c r="I23"/>
  <c r="H15"/>
  <c r="I27"/>
  <c r="H60" i="4"/>
  <c r="H27" i="5"/>
  <c r="F31"/>
  <c r="G15"/>
  <c r="B77" i="4"/>
  <c r="B80"/>
  <c r="G251" i="6"/>
  <c r="G253"/>
  <c r="B109"/>
  <c r="B254" s="1"/>
  <c r="B108"/>
  <c r="G82"/>
  <c r="G49"/>
  <c r="H46"/>
  <c r="G140" i="4"/>
  <c r="G74" s="1"/>
  <c r="H74" s="1"/>
  <c r="B74"/>
  <c r="B255" i="6"/>
  <c r="B118" s="1"/>
  <c r="F45" i="7"/>
  <c r="F49"/>
  <c r="F61"/>
  <c r="E49"/>
  <c r="E57"/>
  <c r="G57"/>
  <c r="G49"/>
  <c r="F86"/>
  <c r="I53"/>
  <c r="F78"/>
  <c r="I49"/>
  <c r="F82"/>
  <c r="E90"/>
  <c r="I61"/>
  <c r="E86"/>
  <c r="I86"/>
  <c r="I82"/>
  <c r="I74"/>
  <c r="H74"/>
  <c r="H90"/>
  <c r="G78"/>
  <c r="G74"/>
  <c r="G82"/>
  <c r="G139" i="4"/>
  <c r="H45" i="7"/>
  <c r="H57"/>
  <c r="B73" i="4"/>
  <c r="G136"/>
  <c r="G73" s="1"/>
  <c r="H73" s="1"/>
  <c r="B121" i="6"/>
  <c r="B124"/>
  <c r="G98"/>
  <c r="B112"/>
  <c r="B107"/>
  <c r="E122"/>
  <c r="E125"/>
  <c r="E115"/>
  <c r="E50"/>
  <c r="H16"/>
  <c r="G42"/>
  <c r="H42" s="1"/>
  <c r="G43"/>
  <c r="F57" i="7"/>
  <c r="F53"/>
  <c r="E61"/>
  <c r="E45"/>
  <c r="E53"/>
  <c r="G61"/>
  <c r="G45"/>
  <c r="G53"/>
  <c r="F90"/>
  <c r="E82"/>
  <c r="E78"/>
  <c r="E74"/>
  <c r="I57"/>
  <c r="F74"/>
  <c r="I45"/>
  <c r="I90"/>
  <c r="I78"/>
  <c r="H82"/>
  <c r="H78"/>
  <c r="H86"/>
  <c r="G86"/>
  <c r="G90"/>
  <c r="H49"/>
  <c r="H61"/>
  <c r="H53"/>
  <c r="B122" i="6" l="1"/>
  <c r="B125"/>
  <c r="G107"/>
  <c r="H98"/>
  <c r="F115" i="7"/>
  <c r="F119"/>
  <c r="F131"/>
  <c r="H127"/>
  <c r="H131"/>
  <c r="I127"/>
  <c r="G115"/>
  <c r="G123"/>
  <c r="I119"/>
  <c r="E119"/>
  <c r="E127"/>
  <c r="I123"/>
  <c r="G131"/>
  <c r="F127"/>
  <c r="F123"/>
  <c r="H123"/>
  <c r="H119"/>
  <c r="H115"/>
  <c r="G119"/>
  <c r="E123"/>
  <c r="E115"/>
  <c r="E131"/>
  <c r="I131"/>
  <c r="I115"/>
  <c r="G127"/>
  <c r="H49" i="6"/>
  <c r="F49" i="5"/>
  <c r="I57"/>
  <c r="I61"/>
  <c r="H45"/>
  <c r="G49"/>
  <c r="G57"/>
  <c r="E49"/>
  <c r="F45"/>
  <c r="H57"/>
  <c r="G53"/>
  <c r="G45"/>
  <c r="F53"/>
  <c r="F61"/>
  <c r="E61"/>
  <c r="E53"/>
  <c r="I45"/>
  <c r="H68" i="4"/>
  <c r="I53" i="5"/>
  <c r="H53"/>
  <c r="F57"/>
  <c r="G61"/>
  <c r="H61"/>
  <c r="I49"/>
  <c r="H49"/>
  <c r="E57"/>
  <c r="E45"/>
  <c r="H43" i="6"/>
  <c r="G242"/>
  <c r="G244" s="1"/>
  <c r="G112"/>
  <c r="B114"/>
  <c r="G108"/>
  <c r="H108" s="1"/>
  <c r="G109"/>
  <c r="H82"/>
  <c r="H107" l="1"/>
  <c r="H161" i="7"/>
  <c r="H190" s="1"/>
  <c r="H157"/>
  <c r="H186" s="1"/>
  <c r="H153"/>
  <c r="H182" s="1"/>
  <c r="G149"/>
  <c r="G178" s="1"/>
  <c r="F157"/>
  <c r="F186" s="1"/>
  <c r="G153"/>
  <c r="G182" s="1"/>
  <c r="F161"/>
  <c r="F190" s="1"/>
  <c r="G145"/>
  <c r="G174" s="1"/>
  <c r="F145"/>
  <c r="F174" s="1"/>
  <c r="F153"/>
  <c r="F182" s="1"/>
  <c r="F149"/>
  <c r="F178" s="1"/>
  <c r="E157"/>
  <c r="E186" s="1"/>
  <c r="E145"/>
  <c r="E174" s="1"/>
  <c r="E149"/>
  <c r="E178" s="1"/>
  <c r="H145"/>
  <c r="H174" s="1"/>
  <c r="H149"/>
  <c r="H178" s="1"/>
  <c r="G157"/>
  <c r="G186" s="1"/>
  <c r="I153"/>
  <c r="I182" s="1"/>
  <c r="G161"/>
  <c r="G190" s="1"/>
  <c r="I149"/>
  <c r="I178" s="1"/>
  <c r="I145"/>
  <c r="I174" s="1"/>
  <c r="I161"/>
  <c r="I190" s="1"/>
  <c r="I157"/>
  <c r="I186" s="1"/>
  <c r="E153"/>
  <c r="E182" s="1"/>
  <c r="E161"/>
  <c r="E190" s="1"/>
  <c r="G114" i="6"/>
  <c r="H112"/>
  <c r="G254"/>
  <c r="G255" s="1"/>
  <c r="H109"/>
  <c r="B115"/>
  <c r="B50"/>
  <c r="G53"/>
  <c r="H53" s="1"/>
  <c r="G245"/>
  <c r="G256" l="1"/>
  <c r="G118"/>
  <c r="H118" s="1"/>
  <c r="G115"/>
  <c r="H114"/>
  <c r="G50"/>
  <c r="H115" l="1"/>
  <c r="H50"/>
</calcChain>
</file>

<file path=xl/comments1.xml><?xml version="1.0" encoding="utf-8"?>
<comments xmlns="http://schemas.openxmlformats.org/spreadsheetml/2006/main">
  <authors>
    <author>fh314stu1</author>
  </authors>
  <commentList>
    <comment ref="B3" authorId="0">
      <text>
        <r>
          <rPr>
            <sz val="8"/>
            <color indexed="81"/>
            <rFont val="Tahoma"/>
            <family val="2"/>
          </rPr>
          <t>For reference, the Landlord information can be entered.</t>
        </r>
      </text>
    </comment>
    <comment ref="H3" authorId="0">
      <text>
        <r>
          <rPr>
            <sz val="8"/>
            <color indexed="81"/>
            <rFont val="Tahoma"/>
            <family val="2"/>
          </rPr>
          <t>For reference, the Tenant information can be entered.</t>
        </r>
      </text>
    </comment>
    <comment ref="A9" authorId="0">
      <text>
        <r>
          <rPr>
            <sz val="8"/>
            <color indexed="81"/>
            <rFont val="Tahoma"/>
            <family val="2"/>
          </rPr>
          <t>For reference, the field(s) in this analysis can be entered.</t>
        </r>
      </text>
    </comment>
    <comment ref="A11" authorId="0">
      <text>
        <r>
          <rPr>
            <sz val="8"/>
            <color indexed="81"/>
            <rFont val="Tahoma"/>
            <family val="2"/>
          </rPr>
          <t>Enter the crops to be analyzed.</t>
        </r>
      </text>
    </comment>
    <comment ref="A12" authorId="0">
      <text>
        <r>
          <rPr>
            <sz val="8"/>
            <color indexed="81"/>
            <rFont val="Tahoma"/>
            <family val="2"/>
          </rPr>
          <t>Enter the total acres planted to each crop.  This number is also used to determine which crops to analyze.  If no number is entered, the crop will not be included in the analysis or sensitivity pages.</t>
        </r>
      </text>
    </comment>
    <comment ref="A13" authorId="0">
      <text>
        <r>
          <rPr>
            <sz val="8"/>
            <color indexed="81"/>
            <rFont val="Tahoma"/>
            <family val="2"/>
          </rPr>
          <t>Production method is the measure of farming intensity.  For example, enter 1 for continuous cropping (Corn-Soybeans), 2 for fallow (Wheat-Fallow), 1.5 for ecofallow (Wheat-Fallow-Corn), and 0.5 for double-cropping (Wheat-Soybeans).</t>
        </r>
      </text>
    </comment>
    <comment ref="A17" authorId="0">
      <text>
        <r>
          <rPr>
            <sz val="8"/>
            <color indexed="81"/>
            <rFont val="Tahoma"/>
            <family val="2"/>
          </rPr>
          <t>Enter the anticipated crop yield (bushels, tons, etc.).</t>
        </r>
      </text>
    </comment>
    <comment ref="A18" authorId="0">
      <text>
        <r>
          <rPr>
            <sz val="8"/>
            <color indexed="81"/>
            <rFont val="Tahoma"/>
            <family val="2"/>
          </rPr>
          <t>Enter the anticipated price per unit (bushels, tons, etc.) that corresponds with each crop.</t>
        </r>
      </text>
    </comment>
    <comment ref="A20" authorId="0">
      <text>
        <r>
          <rPr>
            <sz val="8"/>
            <color indexed="81"/>
            <rFont val="Tahoma"/>
            <family val="2"/>
          </rPr>
          <t>Enter the net program payments per acre.</t>
        </r>
      </text>
    </comment>
    <comment ref="A27" authorId="0">
      <text>
        <r>
          <rPr>
            <sz val="8"/>
            <color indexed="81"/>
            <rFont val="Tahoma"/>
            <family val="2"/>
          </rPr>
          <t>Enter the amount of seed planted per acre.  This can be in seeds, bags, pounds, etc.</t>
        </r>
      </text>
    </comment>
    <comment ref="A28" authorId="0">
      <text>
        <r>
          <rPr>
            <sz val="8"/>
            <color indexed="81"/>
            <rFont val="Tahoma"/>
            <family val="2"/>
          </rPr>
          <t>Enter the seed cost per unit entered above.</t>
        </r>
      </text>
    </comment>
    <comment ref="A31" authorId="0">
      <text>
        <r>
          <rPr>
            <sz val="8"/>
            <color indexed="81"/>
            <rFont val="Tahoma"/>
            <family val="2"/>
          </rPr>
          <t>Enter all fertilizer used.  Under the crop enter the total amount applied per acre.  Under $/Unit enter the cost per unit, and under unit enter the units the fertilizer is measured in.</t>
        </r>
      </text>
    </comment>
    <comment ref="A40" authorId="0">
      <text>
        <r>
          <rPr>
            <sz val="8"/>
            <color indexed="81"/>
            <rFont val="Tahoma"/>
            <family val="2"/>
          </rPr>
          <t>Enter all herbicides used.  Under the crop enter the total amount applied per acre.  Under $/Unit enter the cost per unit, and under unit enter the units the herbicide is measured in.</t>
        </r>
      </text>
    </comment>
    <comment ref="A51" authorId="0">
      <text>
        <r>
          <rPr>
            <sz val="8"/>
            <color indexed="81"/>
            <rFont val="Tahoma"/>
            <family val="2"/>
          </rPr>
          <t>Enter all insecticides and fungicides used.  Under the crop enter the total amount applied per acre.  Under $/Unit enter the cost per unit, and under unit enter the units the insecticide or fungicide is measured in.</t>
        </r>
      </text>
    </comment>
    <comment ref="A59" authorId="0">
      <text>
        <r>
          <rPr>
            <sz val="8"/>
            <color indexed="81"/>
            <rFont val="Tahoma"/>
            <family val="2"/>
          </rPr>
          <t>If crop insurance is used, enter the crop insurance premiums per acre.</t>
        </r>
      </text>
    </comment>
    <comment ref="A66" authorId="0">
      <text>
        <r>
          <rPr>
            <sz val="8"/>
            <color indexed="81"/>
            <rFont val="Tahoma"/>
            <family val="2"/>
          </rPr>
          <t>If crop consulting is used, enter the consulting fees per acre.</t>
        </r>
      </text>
    </comment>
    <comment ref="A70" authorId="0">
      <text>
        <r>
          <rPr>
            <sz val="8"/>
            <color indexed="81"/>
            <rFont val="Tahoma"/>
            <family val="2"/>
          </rPr>
          <t>Enter all field operations below.  Enter only the variable costs associated with each operation (fuel, lube, repairs, and labor).  Under the crop enter the total number of operations per acre.  Under $/unit enter the cost per unit, and under unit enter the unit each operation is measured in.</t>
        </r>
      </text>
    </comment>
    <comment ref="A87" authorId="0">
      <text>
        <r>
          <rPr>
            <sz val="8"/>
            <color indexed="81"/>
            <rFont val="Tahoma"/>
            <family val="2"/>
          </rPr>
          <t>Enter all custom operations used.  Under the crop enter the total amount applied per acre.  Under $/Unit enter the cost per unit, and under unit enter the units the operation is measured in.</t>
        </r>
      </text>
    </comment>
    <comment ref="A94" authorId="0">
      <text>
        <r>
          <rPr>
            <sz val="8"/>
            <color indexed="81"/>
            <rFont val="Tahoma"/>
            <family val="2"/>
          </rPr>
          <t>If irrigation is used, enter the amount below.  Enter only the variable costs associated with irrigation (fuel and lube).  Under the crop enter the amount applied per acre.  Under $/unit enter the cost per unit, and under unit enter the units the irrigation is measured in.  This number is also used to determine which crops to allocate the irrigation fixed expenses.  If no number is entered, then irrigation expenses will not be applied to that crop (this is important if both irrigated and dryland crops are analyzed).</t>
        </r>
      </text>
    </comment>
    <comment ref="A99" authorId="0">
      <text>
        <r>
          <rPr>
            <sz val="8"/>
            <color indexed="81"/>
            <rFont val="Tahoma"/>
            <family val="2"/>
          </rPr>
          <t>Enter labor/management used.  Under the crop enter the total amount applied per acre.  Under $/unit enter the cost per unit, and under unit enter the units the labor is measured in.</t>
        </r>
      </text>
    </comment>
    <comment ref="A106" authorId="0">
      <text>
        <r>
          <rPr>
            <sz val="8"/>
            <color indexed="81"/>
            <rFont val="Tahoma"/>
            <family val="2"/>
          </rPr>
          <t>Enter all drying, storage, and transportation costs.  These are measured and calculated by yield, not per acre.  Under the crop enter the total amount applied.  Under $/unit enter the cost per unit, and under unit enter the units each function is measured in.</t>
        </r>
      </text>
    </comment>
    <comment ref="A113" authorId="0">
      <text>
        <r>
          <rPr>
            <sz val="8"/>
            <color indexed="81"/>
            <rFont val="Tahoma"/>
            <family val="2"/>
          </rPr>
          <t>Enter the cash rent paid per acre under a cash lease arrangement.  For more information and examples, see table 1 under the 'Data Sources' tab.</t>
        </r>
      </text>
    </comment>
    <comment ref="A117" authorId="0">
      <text>
        <r>
          <rPr>
            <sz val="8"/>
            <color indexed="81"/>
            <rFont val="Tahoma"/>
          </rPr>
          <t>Enter any cash paid per acre under a share lease arrangement.</t>
        </r>
      </text>
    </comment>
    <comment ref="A123" authorId="0">
      <text>
        <r>
          <rPr>
            <sz val="8"/>
            <color indexed="81"/>
            <rFont val="Tahoma"/>
            <family val="2"/>
          </rPr>
          <t>Enter the property taxes per acre.</t>
        </r>
      </text>
    </comment>
    <comment ref="A127" authorId="0">
      <text>
        <r>
          <rPr>
            <sz val="8"/>
            <color indexed="81"/>
            <rFont val="Tahoma"/>
            <family val="2"/>
          </rPr>
          <t>Enter lime used.  Under the crop enter the total amount applied per acre.  Under $/unit enter the cost per unit, and under unit enter the units the lime is measured in.  Under a cash lease this expense will be incurred only by the landowner.</t>
        </r>
      </text>
    </comment>
    <comment ref="A131" authorId="0">
      <text>
        <r>
          <rPr>
            <sz val="8"/>
            <color indexed="81"/>
            <rFont val="Tahoma"/>
            <family val="2"/>
          </rPr>
          <t xml:space="preserve">The field operations, number of operations, and units entered above are repeated below.  Enter the fixed expenses associated with each operation (depreciation, taxes, housing, insurance, interest, etc.) under $/unit.  </t>
        </r>
      </text>
    </comment>
    <comment ref="A148" authorId="0">
      <text>
        <r>
          <rPr>
            <sz val="8"/>
            <color indexed="81"/>
            <rFont val="Tahoma"/>
            <family val="2"/>
          </rPr>
          <t xml:space="preserve">If irrigation is used, enter the fixed expenses below.  Under investment enter the total cost of the respective irrigation equipment.  Enter the useful life (in years), salvage value (%), and overhead (per year) for each respective investment.  Overhead should include only taxes, insurance, repairs, maintenance, etc.  Real interest, depreciation, and overhead expenses will be calculated automatically.  Depreciation is calculated using the straight-line method.  Real interest is based on the half-life method and a real interest rate of 3%.  See user's manual for more information.    </t>
        </r>
      </text>
    </comment>
    <comment ref="A158" authorId="0">
      <text>
        <r>
          <rPr>
            <sz val="8"/>
            <color indexed="81"/>
            <rFont val="Tahoma"/>
            <family val="2"/>
          </rPr>
          <t>Enter the tenant's ownership proportion of the irrigation equipment.</t>
        </r>
      </text>
    </comment>
    <comment ref="A164" authorId="0">
      <text>
        <r>
          <rPr>
            <sz val="8"/>
            <color indexed="81"/>
            <rFont val="Tahoma"/>
          </rPr>
          <t>The land data is used to determine the value of the land contribution of the landowner under a share lease.  Use only data for dryland, unimproved, property -- even if this analysis involves irrigated land.  The added value from irrigation is determined from the irrigation fixed expenses.</t>
        </r>
      </text>
    </comment>
    <comment ref="A166" authorId="0">
      <text>
        <r>
          <rPr>
            <sz val="8"/>
            <color indexed="81"/>
            <rFont val="Tahoma"/>
            <family val="2"/>
          </rPr>
          <t xml:space="preserve">Enter the DRYLAND value of the land in this analysis, even if the land in this analysis is irrigated or has irrigation potential.  For more information and examples, see table 2 under the 'Data Sources' tab. </t>
        </r>
      </text>
    </comment>
    <comment ref="A167" authorId="0">
      <text>
        <r>
          <rPr>
            <sz val="8"/>
            <color indexed="81"/>
            <rFont val="Tahoma"/>
            <family val="2"/>
          </rPr>
          <t>Enter the dryland net rate of return expected from the land in this analysis.  In Nebraska, this has typically been 3.4% - 4.6% in recent years.  For more information and examples, see table 3 under the 'Data Sources' tab.</t>
        </r>
      </text>
    </comment>
    <comment ref="A169" authorId="0">
      <text>
        <r>
          <rPr>
            <sz val="8"/>
            <color indexed="81"/>
            <rFont val="Tahoma"/>
            <family val="2"/>
          </rPr>
          <t>Enter the proportion of the cash rent paid up-front, before the growing season.</t>
        </r>
      </text>
    </comment>
    <comment ref="A173" authorId="0">
      <text>
        <r>
          <rPr>
            <sz val="8"/>
            <color indexed="81"/>
            <rFont val="Tahoma"/>
            <family val="2"/>
          </rPr>
          <t>Enter the operating loan interest rate, and the duration of the loan (in months).</t>
        </r>
      </text>
    </comment>
    <comment ref="A177" authorId="0">
      <text>
        <r>
          <rPr>
            <sz val="8"/>
            <color indexed="81"/>
            <rFont val="Tahoma"/>
            <family val="2"/>
          </rPr>
          <t>Enter the irrigation equipment interest rate.</t>
        </r>
      </text>
    </comment>
  </commentList>
</comments>
</file>

<file path=xl/comments2.xml><?xml version="1.0" encoding="utf-8"?>
<comments xmlns="http://schemas.openxmlformats.org/spreadsheetml/2006/main">
  <authors>
    <author>fh314stu1</author>
  </authors>
  <commentList>
    <comment ref="A8" authorId="0">
      <text>
        <r>
          <rPr>
            <sz val="8"/>
            <color indexed="81"/>
            <rFont val="Tahoma"/>
            <family val="2"/>
          </rPr>
          <t>Enter the tenant's share of revenues under a share lease arrangement.</t>
        </r>
      </text>
    </comment>
    <comment ref="A13" authorId="0">
      <text>
        <r>
          <rPr>
            <sz val="8"/>
            <color indexed="81"/>
            <rFont val="Tahoma"/>
            <family val="2"/>
          </rPr>
          <t>Enter the tenants share of variable expenses under a share lease arrangement.</t>
        </r>
      </text>
    </comment>
    <comment ref="A26" authorId="0">
      <text>
        <r>
          <rPr>
            <sz val="8"/>
            <color indexed="81"/>
            <rFont val="Tahoma"/>
            <family val="2"/>
          </rPr>
          <t>Enter the tenant's share of fixed expenses under a share lease arrangement.</t>
        </r>
      </text>
    </comment>
  </commentList>
</comments>
</file>

<file path=xl/sharedStrings.xml><?xml version="1.0" encoding="utf-8"?>
<sst xmlns="http://schemas.openxmlformats.org/spreadsheetml/2006/main" count="841" uniqueCount="358">
  <si>
    <t>Version 1.0</t>
  </si>
  <si>
    <t>Inputs and Shares</t>
  </si>
  <si>
    <t>Cash Lease Analysis and Cash Lease Sensitivity</t>
  </si>
  <si>
    <t>Share Lease Analysis and Share Lease Sensitivity</t>
  </si>
  <si>
    <t>Data Sources</t>
  </si>
  <si>
    <t xml:space="preserve">Sources of information relevant to this program are found under the 'Data Sources' tab.  Links to the University of Nebraska-Lincoln Department of Agricultural Economics for a complete list of information on crop budgets, agricultural real estate, farm management, etc. can also be found here. </t>
  </si>
  <si>
    <t>Users Manual</t>
  </si>
  <si>
    <t>CROP REVENUES, EXPENSES, AND ANALYSIS INPUTS</t>
  </si>
  <si>
    <t>Landowner</t>
  </si>
  <si>
    <t>Tenant</t>
  </si>
  <si>
    <t xml:space="preserve">                                         Name:</t>
  </si>
  <si>
    <t>Average Joe Landowner</t>
  </si>
  <si>
    <t>Average Joe Tenant</t>
  </si>
  <si>
    <t xml:space="preserve">                                      Address:</t>
  </si>
  <si>
    <t>862 Oak Street</t>
  </si>
  <si>
    <t>3580 County Road T</t>
  </si>
  <si>
    <t xml:space="preserve">                           City, State, ZIP:</t>
  </si>
  <si>
    <t>East-Central, NE 12345</t>
  </si>
  <si>
    <t xml:space="preserve">                                        Phone:</t>
  </si>
  <si>
    <t>402-123-4321</t>
  </si>
  <si>
    <t>402-123-4567</t>
  </si>
  <si>
    <t xml:space="preserve">                                       Field(s):</t>
  </si>
  <si>
    <t>Crops:</t>
  </si>
  <si>
    <t>Total</t>
  </si>
  <si>
    <t>Total Acres</t>
  </si>
  <si>
    <t>Production Method</t>
  </si>
  <si>
    <t>Table 1.  Revenues:</t>
  </si>
  <si>
    <t xml:space="preserve">   Yield per Acre</t>
  </si>
  <si>
    <t>-----</t>
  </si>
  <si>
    <t xml:space="preserve">   Price per Unit</t>
  </si>
  <si>
    <t>Crop Revenue</t>
  </si>
  <si>
    <t xml:space="preserve">   Net Gov't Payments per Acre</t>
  </si>
  <si>
    <t xml:space="preserve">   Other Income per Acre</t>
  </si>
  <si>
    <t>Total Revenue:</t>
  </si>
  <si>
    <t>Table 2.  Variable Expenses</t>
  </si>
  <si>
    <t>Seed (per Acre):</t>
  </si>
  <si>
    <t xml:space="preserve">   Seeding Rate</t>
  </si>
  <si>
    <t>Total Seed Expense:</t>
  </si>
  <si>
    <t>Fertilizer (per Acre):</t>
  </si>
  <si>
    <t>@</t>
  </si>
  <si>
    <t>$/Unit</t>
  </si>
  <si>
    <t>Unit</t>
  </si>
  <si>
    <t xml:space="preserve">   10-34-0</t>
  </si>
  <si>
    <t>gallon</t>
  </si>
  <si>
    <t xml:space="preserve">   82-0-0</t>
  </si>
  <si>
    <t>pound</t>
  </si>
  <si>
    <t xml:space="preserve">   28-0-0</t>
  </si>
  <si>
    <t xml:space="preserve">   9-18-9</t>
  </si>
  <si>
    <t xml:space="preserve">   90% Sulfur</t>
  </si>
  <si>
    <t xml:space="preserve">   Other</t>
  </si>
  <si>
    <t>Total Fertilizer Expense:</t>
  </si>
  <si>
    <t>Herbicide (per Acre):</t>
  </si>
  <si>
    <t xml:space="preserve">   Bicep II Magnum</t>
  </si>
  <si>
    <t>quart</t>
  </si>
  <si>
    <t xml:space="preserve">   Spirit</t>
  </si>
  <si>
    <t>ounce</t>
  </si>
  <si>
    <t xml:space="preserve">   Liberty</t>
  </si>
  <si>
    <t>pint</t>
  </si>
  <si>
    <t xml:space="preserve">   Roundup UltraMax</t>
  </si>
  <si>
    <t xml:space="preserve">   2% Ammonium Sulfate</t>
  </si>
  <si>
    <t xml:space="preserve">   Atrazine 90DF</t>
  </si>
  <si>
    <t xml:space="preserve">   Exceed</t>
  </si>
  <si>
    <t>Total Herbicide Expense:</t>
  </si>
  <si>
    <t>Insecticide &amp; Fungicide (per Acre):</t>
  </si>
  <si>
    <t xml:space="preserve">   Lorsban 4E</t>
  </si>
  <si>
    <t xml:space="preserve">   Mustang</t>
  </si>
  <si>
    <t xml:space="preserve">   Warrior T</t>
  </si>
  <si>
    <t xml:space="preserve">   Tilt</t>
  </si>
  <si>
    <t>Total Insecticide &amp; Fungicide Expense:</t>
  </si>
  <si>
    <t>Crop Insurance (per Acre):</t>
  </si>
  <si>
    <t xml:space="preserve">   Multiple Peril Premiums</t>
  </si>
  <si>
    <t xml:space="preserve">   Revenue Assurance Premiums</t>
  </si>
  <si>
    <t>Total Crop Insurance Expense:</t>
  </si>
  <si>
    <t>Crop Consulting (per Acre):</t>
  </si>
  <si>
    <t xml:space="preserve">   Consulting Fees</t>
  </si>
  <si>
    <t>Total Crop Consulting Expense:</t>
  </si>
  <si>
    <t>Machinery/Field Operations (per Acre):</t>
  </si>
  <si>
    <t>Include only fuel, lube, repairs, and labor!</t>
  </si>
  <si>
    <t xml:space="preserve">   No-Till Plant</t>
  </si>
  <si>
    <t>acre</t>
  </si>
  <si>
    <t xml:space="preserve">   No-Till Drill</t>
  </si>
  <si>
    <t xml:space="preserve">   Chisel</t>
  </si>
  <si>
    <t xml:space="preserve">   Disk</t>
  </si>
  <si>
    <t xml:space="preserve">   Field Cultivate</t>
  </si>
  <si>
    <t xml:space="preserve">   Row Crop Cultivate/Ditch</t>
  </si>
  <si>
    <t xml:space="preserve">   Anhydrous Application</t>
  </si>
  <si>
    <t xml:space="preserve">   Spray</t>
  </si>
  <si>
    <t xml:space="preserve">   Combine</t>
  </si>
  <si>
    <t xml:space="preserve">   Grain Cart</t>
  </si>
  <si>
    <t>Total Machinery/Field Operation Expense:</t>
  </si>
  <si>
    <t>Custom Operations (per Acre):</t>
  </si>
  <si>
    <t xml:space="preserve">   Liquid Fertilizer/Herbicide Application</t>
  </si>
  <si>
    <t xml:space="preserve">   Custom Spray</t>
  </si>
  <si>
    <t>Total Custom Operations Expense:</t>
  </si>
  <si>
    <t>Irrigation (per Acre):</t>
  </si>
  <si>
    <t>Include only fuel and lube!</t>
  </si>
  <si>
    <t xml:space="preserve">   Irrigation</t>
  </si>
  <si>
    <t>hour</t>
  </si>
  <si>
    <t>Total Irrigation Expense:</t>
  </si>
  <si>
    <t xml:space="preserve">   Irrigation Labor</t>
  </si>
  <si>
    <t xml:space="preserve">   Rouging</t>
  </si>
  <si>
    <t>Total Variable Labor Expense:</t>
  </si>
  <si>
    <t>Drying, Storage, Transportation (as per Yield):</t>
  </si>
  <si>
    <t xml:space="preserve">   Drying</t>
  </si>
  <si>
    <t>point</t>
  </si>
  <si>
    <t xml:space="preserve">   Storage</t>
  </si>
  <si>
    <t>month</t>
  </si>
  <si>
    <t xml:space="preserve">   Hauling/Trucking</t>
  </si>
  <si>
    <t>bushel</t>
  </si>
  <si>
    <t>Total Drying, Storage, Trans. Expense:</t>
  </si>
  <si>
    <t>Cash Lease Rent (per Acre):</t>
  </si>
  <si>
    <t xml:space="preserve">   Rent</t>
  </si>
  <si>
    <t>Total Rent Expense under Cash Lease:</t>
  </si>
  <si>
    <t>Share Lease Rent (per Acre):</t>
  </si>
  <si>
    <t>Total Rent Expense under Share Lease:</t>
  </si>
  <si>
    <t>Table 3.  Fixed Expenses</t>
  </si>
  <si>
    <t>Property Taxes (per Acre):</t>
  </si>
  <si>
    <t xml:space="preserve">   Property Taxes</t>
  </si>
  <si>
    <t>Total Property Tax Expense:</t>
  </si>
  <si>
    <t>Lime (per Acre):</t>
  </si>
  <si>
    <t xml:space="preserve">   Lime</t>
  </si>
  <si>
    <t>Total Lime Expense:</t>
  </si>
  <si>
    <t>Include only depreciation, taxes, housing, insurance, and interest!</t>
  </si>
  <si>
    <t>Total Machinery Fixed Expense:</t>
  </si>
  <si>
    <t>Irrigation Equipment:</t>
  </si>
  <si>
    <t xml:space="preserve">Include only taxes, insurance, repairs, and maintenance under overhead! </t>
  </si>
  <si>
    <t>Investment:</t>
  </si>
  <si>
    <t>Salvage Value %</t>
  </si>
  <si>
    <t>Overhead per Year</t>
  </si>
  <si>
    <t>Depreciation per Year</t>
  </si>
  <si>
    <t xml:space="preserve">   Well, Pump, &amp; Gearhead</t>
  </si>
  <si>
    <t xml:space="preserve">   Power Unit &amp; Meter</t>
  </si>
  <si>
    <t xml:space="preserve">   Irrigation System</t>
  </si>
  <si>
    <t>Table 4.  Analysis &amp; Other Inputs</t>
  </si>
  <si>
    <t>Irrigation Equipment Ownership:</t>
  </si>
  <si>
    <t>Enter:</t>
  </si>
  <si>
    <t>Enter the TENANT Ownership % of the equipment</t>
  </si>
  <si>
    <t>Land Data:</t>
  </si>
  <si>
    <t>Land Data should be based on dryland, unimproved, property!</t>
  </si>
  <si>
    <t xml:space="preserve">   Land Value (per Acre)</t>
  </si>
  <si>
    <t xml:space="preserve">   Net Rate of Return</t>
  </si>
  <si>
    <t>Cash Rent Data:</t>
  </si>
  <si>
    <t xml:space="preserve">   Portion of cash rent paid prior </t>
  </si>
  <si>
    <t xml:space="preserve">   to growing season</t>
  </si>
  <si>
    <t>Operating Loan Interest:</t>
  </si>
  <si>
    <t xml:space="preserve">   % APR</t>
  </si>
  <si>
    <t xml:space="preserve">   Loan Term (months)</t>
  </si>
  <si>
    <t>This information used in calculations:</t>
  </si>
  <si>
    <t>Irrigation Acres:</t>
  </si>
  <si>
    <t>Total:</t>
  </si>
  <si>
    <t>Tenant Total:</t>
  </si>
  <si>
    <t>Landowner Total:</t>
  </si>
  <si>
    <t>CROP REVENUE AND EXPENSE SHARES</t>
  </si>
  <si>
    <t>Landowner:</t>
  </si>
  <si>
    <t>Tenant:</t>
  </si>
  <si>
    <t>Field(s):</t>
  </si>
  <si>
    <t>Enter the TENANT'S SHARE of the Revenues and Expenses under a Share Lease</t>
  </si>
  <si>
    <t>Table 5.  Revenue Shares:</t>
  </si>
  <si>
    <t xml:space="preserve">   Crop Yield:</t>
  </si>
  <si>
    <t xml:space="preserve">   Net Gov't Payments:</t>
  </si>
  <si>
    <t>Table 6.  Variable Expenses Shares:</t>
  </si>
  <si>
    <t xml:space="preserve">   Seed:</t>
  </si>
  <si>
    <t xml:space="preserve">   Fertilizer:</t>
  </si>
  <si>
    <t xml:space="preserve">   Herbicide:</t>
  </si>
  <si>
    <t xml:space="preserve">   Insecticide &amp; Fungicide:</t>
  </si>
  <si>
    <t xml:space="preserve">   Crop Insurance:</t>
  </si>
  <si>
    <t xml:space="preserve">   Crop Consulting:</t>
  </si>
  <si>
    <t xml:space="preserve">   Machinery/Field Operations:</t>
  </si>
  <si>
    <t xml:space="preserve">   Custom Operations:</t>
  </si>
  <si>
    <t xml:space="preserve">   Irrigation:</t>
  </si>
  <si>
    <t xml:space="preserve">   Drying, Storage, Transportation:</t>
  </si>
  <si>
    <t>Table 7.  Fixed Expenses Shares:</t>
  </si>
  <si>
    <t xml:space="preserve">   Machinery/Field Operations</t>
  </si>
  <si>
    <t>This information is used in calculations:</t>
  </si>
  <si>
    <t>LANDOWNERS SHARES:</t>
  </si>
  <si>
    <t>Table 5L.  Revenue Shares:</t>
  </si>
  <si>
    <t xml:space="preserve">   Crop Yield</t>
  </si>
  <si>
    <t>Table 6L.  Variable Expenses Shares:</t>
  </si>
  <si>
    <t xml:space="preserve">   Seed</t>
  </si>
  <si>
    <t xml:space="preserve">   Fertilizer</t>
  </si>
  <si>
    <t xml:space="preserve">   Herbicide</t>
  </si>
  <si>
    <t xml:space="preserve">   Insecticide &amp; Fungicide</t>
  </si>
  <si>
    <t xml:space="preserve">   Crop Insurance</t>
  </si>
  <si>
    <t xml:space="preserve">   Crop Consulting</t>
  </si>
  <si>
    <t xml:space="preserve">   Custom Operations</t>
  </si>
  <si>
    <t xml:space="preserve">   Labor</t>
  </si>
  <si>
    <t xml:space="preserve">   Drying, Storage, &amp; Transportation</t>
  </si>
  <si>
    <t>Table 7L.  Fixed Expenses Shares:</t>
  </si>
  <si>
    <t>LANDOWNER CASH LEASE BUDGET SUMMARY</t>
  </si>
  <si>
    <t>Total Acres:</t>
  </si>
  <si>
    <t>Landowner Cash Lease Revenue:</t>
  </si>
  <si>
    <t xml:space="preserve">   Cash Rent:</t>
  </si>
  <si>
    <t>Landowner Cash Lease Fixed Expenses:</t>
  </si>
  <si>
    <t xml:space="preserve">   Property Taxes:</t>
  </si>
  <si>
    <t xml:space="preserve">   Lime:</t>
  </si>
  <si>
    <t>Total Fixed Expenses:</t>
  </si>
  <si>
    <t>Landowner Cash Lease Totals:</t>
  </si>
  <si>
    <t>Revenue Less Total Expenses:</t>
  </si>
  <si>
    <t>Landowner Cash Lease Breakeven:</t>
  </si>
  <si>
    <t>TENANT CASH LEASE BUDGET SUMMARY</t>
  </si>
  <si>
    <t>Tenant Cash Lease Revenue:</t>
  </si>
  <si>
    <t xml:space="preserve">   Yield per Acre:</t>
  </si>
  <si>
    <t xml:space="preserve">   Price per Unit:</t>
  </si>
  <si>
    <t>Tenant Cash Lease Variable Expenses:</t>
  </si>
  <si>
    <t xml:space="preserve">   Rent:</t>
  </si>
  <si>
    <t xml:space="preserve">   Interest on Variable Expenses:</t>
  </si>
  <si>
    <t>Total Variable Expenses:</t>
  </si>
  <si>
    <t>Tenant Cash Lease Fixed Expenses:</t>
  </si>
  <si>
    <t>Tenant Cash Lease Totals:</t>
  </si>
  <si>
    <t>Tenant Cash Lease Breakevens:</t>
  </si>
  <si>
    <t>Interest Expense:</t>
  </si>
  <si>
    <t xml:space="preserve">   Principle</t>
  </si>
  <si>
    <t>Interest on Variable Expenses:</t>
  </si>
  <si>
    <t>Breakeven Rent:</t>
  </si>
  <si>
    <t xml:space="preserve">   Variable Expenses less Rent</t>
  </si>
  <si>
    <t xml:space="preserve">   Interest on Variable Expenses</t>
  </si>
  <si>
    <t>Variable:</t>
  </si>
  <si>
    <t xml:space="preserve">   Breakeven Rent Variable - No Rent Interest</t>
  </si>
  <si>
    <t xml:space="preserve">   Interest on Break Variable</t>
  </si>
  <si>
    <t xml:space="preserve">   Breakeven Rent Variable - Interest:</t>
  </si>
  <si>
    <t xml:space="preserve">   Breakeven Rent Total - No Rent Interest</t>
  </si>
  <si>
    <t xml:space="preserve">   Interest on Break Total</t>
  </si>
  <si>
    <t xml:space="preserve">   Breakeven Rent Total - Interest:</t>
  </si>
  <si>
    <t>TENANT CASH LEASE SENSITIVITY MATRIX</t>
  </si>
  <si>
    <t>Tenant Revenue Less Variable Costs (per Acre)</t>
  </si>
  <si>
    <t>on a Cash Lease under Various Yields and Prices</t>
  </si>
  <si>
    <t>Yields</t>
  </si>
  <si>
    <t>Below</t>
  </si>
  <si>
    <t>Average</t>
  </si>
  <si>
    <t>Above</t>
  </si>
  <si>
    <t>Prices</t>
  </si>
  <si>
    <t>Tenant Revenue Less Total Costs (per Acre)</t>
  </si>
  <si>
    <t>Crop</t>
  </si>
  <si>
    <t>Acres</t>
  </si>
  <si>
    <t>LANDOWNER SHARE LEASE BUDGET SUMMARY</t>
  </si>
  <si>
    <t>Landowner Share Lease Revenue:</t>
  </si>
  <si>
    <t xml:space="preserve">   Cash Rent</t>
  </si>
  <si>
    <t>Landowner Share Lease Variable Expenses:</t>
  </si>
  <si>
    <t>Landowner Share Lease Fixed Expenses:</t>
  </si>
  <si>
    <t>Landowner Share Lease Totals:</t>
  </si>
  <si>
    <t>Landowner Share Lease Relative Contributions:</t>
  </si>
  <si>
    <t>Net Contribution Percentage:</t>
  </si>
  <si>
    <t>Landowner Share Lease Comparison:</t>
  </si>
  <si>
    <t>Equivalent Cash Rent:</t>
  </si>
  <si>
    <t>Landowner Share Lease Breakevens:</t>
  </si>
  <si>
    <t>TENANT SHARE LEASE BUDGET SUMMARY</t>
  </si>
  <si>
    <t>Tenant Share Lease Revenue:</t>
  </si>
  <si>
    <t>Tenant Share Lease Variable Expenses:</t>
  </si>
  <si>
    <t>Tenant Share Lease Fixed Expenses:</t>
  </si>
  <si>
    <t>Tenant Share Lease Totals:</t>
  </si>
  <si>
    <t>Tenant Share Lease Relative Contributions:</t>
  </si>
  <si>
    <t>Tenant Share Lease Comparison:</t>
  </si>
  <si>
    <t>Tenant Share Lease Breakevens:</t>
  </si>
  <si>
    <t>Cash Rent Equivalent</t>
  </si>
  <si>
    <t>Income</t>
  </si>
  <si>
    <t>Fixed Expenses</t>
  </si>
  <si>
    <t>Equivalent</t>
  </si>
  <si>
    <t xml:space="preserve">   (per Acre for Total)</t>
  </si>
  <si>
    <t>Variable Expenses</t>
  </si>
  <si>
    <t>Interest - Rent Expense</t>
  </si>
  <si>
    <t>Difference</t>
  </si>
  <si>
    <t>Cash Profit under Share</t>
  </si>
  <si>
    <t>LANDOWNER SHARE LEASE SENSITIVITY MATRIX</t>
  </si>
  <si>
    <t>Landowner Revenue Less Variable Costs (per Acre)</t>
  </si>
  <si>
    <t>on a Share Lease under Various Yields and Prices</t>
  </si>
  <si>
    <t>Landowner Revenue Less Total Costs (per Acre)</t>
  </si>
  <si>
    <t>Share Lease Equivalent (per Acre) Cash Rent</t>
  </si>
  <si>
    <t>TENANT SHARE LEASE SENSITIVITY MATRIX</t>
  </si>
  <si>
    <t>Northwest</t>
  </si>
  <si>
    <t>North</t>
  </si>
  <si>
    <t>Northeast</t>
  </si>
  <si>
    <t>Central</t>
  </si>
  <si>
    <t>East</t>
  </si>
  <si>
    <t>Southwest</t>
  </si>
  <si>
    <t>South</t>
  </si>
  <si>
    <t>Southeast</t>
  </si>
  <si>
    <t>Dryland Cropland (No Irrigation Potential)</t>
  </si>
  <si>
    <t xml:space="preserve">   High Grade</t>
  </si>
  <si>
    <t xml:space="preserve">   Low Grade</t>
  </si>
  <si>
    <t>Dryland Cropland</t>
  </si>
  <si>
    <t>Figure 1.  Nebraska Agricultural Statistics Districts</t>
  </si>
  <si>
    <t xml:space="preserve">   For complete Nebraska Farm Real Estate Market Development Surveys visit:</t>
  </si>
  <si>
    <t>http://agecon.unl.edu/realestate/</t>
  </si>
  <si>
    <t>http://www.ianrpubs.unl.edu/epublic/live/ec872/build/ec872.pdf#search=%222006%20crop%20budgets%22</t>
  </si>
  <si>
    <t>http://www.ianrpubs.unl.edu/epublic/pages/index.jsp?what=publicationD&amp;publicationId=557</t>
  </si>
  <si>
    <t>http://www.ianrpubs.unl.edu/epublic/pages/index.jsp?what=publicationD&amp;publicationId=558</t>
  </si>
  <si>
    <t xml:space="preserve">   For a complete list of resources visit:</t>
  </si>
  <si>
    <t>http://www.agecon.unl.edu/resource.html</t>
  </si>
  <si>
    <t>Per Acre</t>
  </si>
  <si>
    <t xml:space="preserve">   Total Expenses:</t>
  </si>
  <si>
    <t xml:space="preserve">   Breakeven Cash Rent to Cover Total Costs:</t>
  </si>
  <si>
    <t xml:space="preserve">   Revenue Less Variable Expenses:</t>
  </si>
  <si>
    <t xml:space="preserve">   Breakeven Rent to Cover Variable Costs:</t>
  </si>
  <si>
    <t xml:space="preserve">   Breakeven Rent to Cover Total Costs:</t>
  </si>
  <si>
    <t xml:space="preserve">   Breakeven Yield to Cover Variable Costs:</t>
  </si>
  <si>
    <t xml:space="preserve">   Breakeven Yield to Cover Total Costs:</t>
  </si>
  <si>
    <t xml:space="preserve">   Breakeven Price to Cover Variable Costs:</t>
  </si>
  <si>
    <t xml:space="preserve">   Breakeven Price to Cover Total Costs:</t>
  </si>
  <si>
    <t xml:space="preserve">   Variable Expenses:</t>
  </si>
  <si>
    <t xml:space="preserve">   Fixed Expenses:</t>
  </si>
  <si>
    <t xml:space="preserve">   Net Land Contribution:</t>
  </si>
  <si>
    <t xml:space="preserve">   Total Contribution:</t>
  </si>
  <si>
    <r>
      <t xml:space="preserve">   </t>
    </r>
    <r>
      <rPr>
        <sz val="10"/>
        <color indexed="17"/>
        <rFont val="Arial"/>
        <family val="2"/>
      </rPr>
      <t>Management</t>
    </r>
  </si>
  <si>
    <t>Labor/Management (per Acre):</t>
  </si>
  <si>
    <t xml:space="preserve">   Labor/Management:</t>
  </si>
  <si>
    <t>Department of Agricultural Economics</t>
  </si>
  <si>
    <t>University of Nebraska-Lincoln</t>
  </si>
  <si>
    <t>H.C. Filley Hall</t>
  </si>
  <si>
    <t>Lincoln, NE 68583</t>
  </si>
  <si>
    <t>402.472.3401</t>
  </si>
  <si>
    <t>http://www.agecon.unl.edu/</t>
  </si>
  <si>
    <t>The following is a list of information relevant to this program and other farm management topics:</t>
  </si>
  <si>
    <t>Expected Life (yrs.)</t>
  </si>
  <si>
    <t>Interest per Year</t>
  </si>
  <si>
    <t>Gravity Irrigated Cropland</t>
  </si>
  <si>
    <t>Center Pivot Irrigated Cropland</t>
  </si>
  <si>
    <t>Dryland Alfalfa</t>
  </si>
  <si>
    <t>Irrigated Alfalfa</t>
  </si>
  <si>
    <t>Other Hayland</t>
  </si>
  <si>
    <t xml:space="preserve">  Average</t>
  </si>
  <si>
    <t>b</t>
  </si>
  <si>
    <r>
      <t xml:space="preserve">b    </t>
    </r>
    <r>
      <rPr>
        <sz val="8"/>
        <rFont val="Arial"/>
        <family val="2"/>
      </rPr>
      <t>Insufficient number of reports</t>
    </r>
  </si>
  <si>
    <r>
      <t xml:space="preserve">               Agricultural Statistics District </t>
    </r>
    <r>
      <rPr>
        <b/>
        <vertAlign val="superscript"/>
        <sz val="10"/>
        <rFont val="Arial"/>
        <family val="2"/>
      </rPr>
      <t>a</t>
    </r>
  </si>
  <si>
    <t>Information and Examples:</t>
  </si>
  <si>
    <t>Irrigation Equipment Interest:</t>
  </si>
  <si>
    <t>In the 'Cash Lease Analysis' and 'Cash Lease Sensitivity' tabs, all cells are calculations made automatically from the data in the 'Inputs' tab.  The 'Cash Lease Analysis' tab displays the summary and analysis of a cash lease arrangement.  Landowner data is under blue headings, and tenant data is below landowner data under tan headings.  The 'Cash Lease Sensitivity' displays the tenant's returns under various crop yields and prices.</t>
  </si>
  <si>
    <t xml:space="preserve">In the 'Inputs' and 'Shares' tab, all green cells are input cells.  Enter the data specific to your operation or cropland here.  All black numbers are calculations made automatically from the data entered in the green cells.  Cells with a red triangle in the upper right-hand corner display a brief description of the input when the mouse is placed over the triangle.   </t>
  </si>
  <si>
    <t>In the 'Share Lease Analysis' and 'Share Lease Sensitivity' tabs, all cells are calculations made automatically from the data in the 'Inputs' and 'Shares' tabs.  The 'Share Lease Analysis tab displays the summary and analysis of a share lease arrangement.  Landowner data is under blue headings and tenant data is below landowner data under tan headings.  The 'Share Lease Sensitivity' displays the landowner's and tenant's returns under various crop yields and prices, as well as the equivalent cash rent.</t>
  </si>
  <si>
    <t xml:space="preserve">Tenant Revenue Less Total Costs (per Acre) </t>
  </si>
  <si>
    <t xml:space="preserve">   Power Unit</t>
  </si>
  <si>
    <t xml:space="preserve">   Well, Column, &amp; Gearhead</t>
  </si>
  <si>
    <t>ave</t>
  </si>
  <si>
    <t>+25%</t>
  </si>
  <si>
    <t>+10%</t>
  </si>
  <si>
    <t>-10%</t>
  </si>
  <si>
    <t>-25%</t>
  </si>
  <si>
    <t>Cash Yields</t>
  </si>
  <si>
    <t>Total Irrigation Fixed Expenses:</t>
  </si>
  <si>
    <t>Tenant Irrigation Fixed Expense:</t>
  </si>
  <si>
    <t>Landowner Irrigation Fixed Expense:</t>
  </si>
  <si>
    <t>Farm Lease Calculator</t>
  </si>
  <si>
    <t>Farm Lease Calculator is a spreadsheet used to evaluate, analyze, and determine crop production budgets and lease arrangements for the benefit of landowners and tenants.</t>
  </si>
  <si>
    <t>The Farm Lease Calculator User's Manual which accompanies this program, has a full description of this program and instructions for its use.</t>
  </si>
  <si>
    <t>Dry Corn</t>
  </si>
  <si>
    <t>Dry Soybeans</t>
  </si>
  <si>
    <t>Irr Corn</t>
  </si>
  <si>
    <t>Irr Soybeans</t>
  </si>
  <si>
    <t>Pivot Irrigated Quarter Section with Dryland Corners</t>
  </si>
  <si>
    <t xml:space="preserve">Table 1.  2010 Reported Cash Rental Rates Per Acre of Various Types of Nebraska Farmland by </t>
  </si>
  <si>
    <r>
      <t xml:space="preserve">Table 2.  2010 Average Reported Value Per Acre of Dryland Cropland by Agricultural Statistics District </t>
    </r>
    <r>
      <rPr>
        <b/>
        <vertAlign val="superscript"/>
        <sz val="10"/>
        <rFont val="Arial"/>
        <family val="2"/>
      </rPr>
      <t>a</t>
    </r>
  </si>
  <si>
    <t xml:space="preserve">Contact: </t>
  </si>
  <si>
    <t>Bruce Johnson</t>
  </si>
  <si>
    <t>402-472-1794</t>
  </si>
  <si>
    <t>bjohnson2@unl.edu</t>
  </si>
  <si>
    <t xml:space="preserve">   For complete 2010 Nebraska Farm Budgets visit:</t>
  </si>
  <si>
    <t xml:space="preserve">   For 2010 Custom Rates visit:</t>
  </si>
  <si>
    <r>
      <t xml:space="preserve">Table 3.  2010 Reported Net Rent of Return for Dryland Cropland by Agricultural Statistics District </t>
    </r>
    <r>
      <rPr>
        <b/>
        <vertAlign val="superscript"/>
        <sz val="10"/>
        <rFont val="Arial"/>
        <family val="2"/>
      </rPr>
      <t>a</t>
    </r>
  </si>
  <si>
    <r>
      <t>a</t>
    </r>
    <r>
      <rPr>
        <sz val="8"/>
        <rFont val="Arial"/>
        <family val="2"/>
      </rPr>
      <t xml:space="preserve">   Source:  2010 UNL Nebraska Farm Real Estate Market Developments Survey</t>
    </r>
  </si>
</sst>
</file>

<file path=xl/styles.xml><?xml version="1.0" encoding="utf-8"?>
<styleSheet xmlns="http://schemas.openxmlformats.org/spreadsheetml/2006/main">
  <numFmts count="10">
    <numFmt numFmtId="6" formatCode="&quot;$&quot;#,##0_);[Red]\(&quot;$&quot;#,##0\)"/>
    <numFmt numFmtId="8" formatCode="&quot;$&quot;#,##0.00_);[Red]\(&quot;$&quot;#,##0.00\)"/>
    <numFmt numFmtId="164" formatCode="&quot;$&quot;#,##0.00"/>
    <numFmt numFmtId="166" formatCode="&quot;$&quot;#,##0.000_);[Red]\(&quot;$&quot;#,##0.000\)"/>
    <numFmt numFmtId="167" formatCode="&quot;$&quot;#,##0"/>
    <numFmt numFmtId="168" formatCode="0.0%"/>
    <numFmt numFmtId="171" formatCode="0.0_);[Red]\(0.0\)"/>
    <numFmt numFmtId="177" formatCode="0_);[Red]\(0\)"/>
    <numFmt numFmtId="186" formatCode="&quot;$&quot;#,##0.00;[Red]&quot;$&quot;#,##0.00"/>
    <numFmt numFmtId="188" formatCode="m/d/yy;@"/>
  </numFmts>
  <fonts count="29">
    <font>
      <sz val="10"/>
      <name val="Arial"/>
    </font>
    <font>
      <sz val="10"/>
      <name val="Arial"/>
    </font>
    <font>
      <u/>
      <sz val="10"/>
      <color indexed="12"/>
      <name val="Arial"/>
    </font>
    <font>
      <sz val="38"/>
      <name val="Georgia"/>
      <family val="1"/>
    </font>
    <font>
      <sz val="10"/>
      <name val="Georgia"/>
      <family val="1"/>
    </font>
    <font>
      <i/>
      <sz val="10"/>
      <name val="Georgia"/>
      <family val="1"/>
    </font>
    <font>
      <b/>
      <u/>
      <sz val="10"/>
      <color indexed="8"/>
      <name val="Arial"/>
      <family val="2"/>
    </font>
    <font>
      <sz val="10"/>
      <color indexed="17"/>
      <name val="Arial"/>
      <family val="2"/>
    </font>
    <font>
      <b/>
      <u/>
      <sz val="10"/>
      <name val="Arial"/>
      <family val="2"/>
    </font>
    <font>
      <b/>
      <sz val="14"/>
      <name val="Arial"/>
      <family val="2"/>
    </font>
    <font>
      <sz val="14"/>
      <name val="Arial"/>
      <family val="2"/>
    </font>
    <font>
      <b/>
      <sz val="10"/>
      <name val="Arial"/>
      <family val="2"/>
    </font>
    <font>
      <sz val="10"/>
      <name val="Arial"/>
      <family val="2"/>
    </font>
    <font>
      <u/>
      <sz val="10"/>
      <name val="Arial"/>
      <family val="2"/>
    </font>
    <font>
      <i/>
      <sz val="10"/>
      <name val="Arial"/>
      <family val="2"/>
    </font>
    <font>
      <sz val="8"/>
      <color indexed="81"/>
      <name val="Tahoma"/>
      <family val="2"/>
    </font>
    <font>
      <sz val="8"/>
      <color indexed="81"/>
      <name val="Tahoma"/>
    </font>
    <font>
      <b/>
      <i/>
      <sz val="10"/>
      <name val="Arial"/>
      <family val="2"/>
    </font>
    <font>
      <b/>
      <sz val="11"/>
      <name val="Arial"/>
      <family val="2"/>
    </font>
    <font>
      <sz val="8"/>
      <name val="Arial"/>
      <family val="2"/>
    </font>
    <font>
      <b/>
      <sz val="8"/>
      <name val="Arial"/>
      <family val="2"/>
    </font>
    <font>
      <sz val="26"/>
      <name val="Georgia"/>
      <family val="1"/>
    </font>
    <font>
      <b/>
      <vertAlign val="superscript"/>
      <sz val="10"/>
      <name val="Arial"/>
      <family val="2"/>
    </font>
    <font>
      <vertAlign val="superscript"/>
      <sz val="8"/>
      <name val="Arial"/>
      <family val="2"/>
    </font>
    <font>
      <sz val="10"/>
      <color indexed="57"/>
      <name val="Arial"/>
      <family val="2"/>
    </font>
    <font>
      <u/>
      <sz val="20"/>
      <name val="Georgia"/>
      <family val="1"/>
    </font>
    <font>
      <u/>
      <sz val="20"/>
      <name val="Arial"/>
    </font>
    <font>
      <sz val="16"/>
      <name val="Arial"/>
      <family val="2"/>
    </font>
    <font>
      <sz val="14"/>
      <color rgb="FFFF0000"/>
      <name val="Arial"/>
      <family val="2"/>
    </font>
  </fonts>
  <fills count="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4"/>
        <bgColor indexed="64"/>
      </patternFill>
    </fill>
    <fill>
      <patternFill patternType="solid">
        <fgColor indexed="43"/>
        <bgColor indexed="64"/>
      </patternFill>
    </fill>
    <fill>
      <patternFill patternType="solid">
        <fgColor indexed="42"/>
        <bgColor indexed="64"/>
      </patternFill>
    </fill>
  </fills>
  <borders count="31">
    <border>
      <left/>
      <right/>
      <top/>
      <bottom/>
      <diagonal/>
    </border>
    <border>
      <left/>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top style="thin">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317">
    <xf numFmtId="0" fontId="0" fillId="0" borderId="0" xfId="0"/>
    <xf numFmtId="0" fontId="0" fillId="2" borderId="0" xfId="0" applyFill="1"/>
    <xf numFmtId="0" fontId="1" fillId="2" borderId="0" xfId="0" applyFont="1" applyFill="1"/>
    <xf numFmtId="0" fontId="4" fillId="2" borderId="0" xfId="0" applyFont="1" applyFill="1" applyAlignment="1">
      <alignment horizontal="center" wrapText="1"/>
    </xf>
    <xf numFmtId="0" fontId="5" fillId="2" borderId="0" xfId="0" applyFont="1" applyFill="1" applyAlignment="1">
      <alignment horizontal="center"/>
    </xf>
    <xf numFmtId="0" fontId="0" fillId="2" borderId="0" xfId="0" applyFill="1" applyAlignment="1"/>
    <xf numFmtId="0" fontId="6" fillId="2" borderId="0" xfId="0" applyFont="1" applyFill="1"/>
    <xf numFmtId="0" fontId="0" fillId="2" borderId="0" xfId="0" applyFill="1" applyAlignment="1">
      <alignment horizontal="center"/>
    </xf>
    <xf numFmtId="0" fontId="0" fillId="2" borderId="0" xfId="0" applyFill="1" applyAlignment="1">
      <alignment wrapText="1"/>
    </xf>
    <xf numFmtId="0" fontId="8" fillId="2" borderId="0" xfId="0" applyFont="1" applyFill="1"/>
    <xf numFmtId="0" fontId="11" fillId="0" borderId="0" xfId="0" applyFont="1" applyFill="1" applyProtection="1"/>
    <xf numFmtId="0" fontId="11" fillId="0" borderId="0" xfId="0" applyFont="1"/>
    <xf numFmtId="0" fontId="11" fillId="0" borderId="1" xfId="0" applyFont="1" applyFill="1" applyBorder="1" applyAlignment="1">
      <alignment horizontal="center"/>
    </xf>
    <xf numFmtId="0" fontId="11" fillId="0" borderId="0" xfId="0" applyFont="1" applyAlignment="1"/>
    <xf numFmtId="0" fontId="0" fillId="0" borderId="0" xfId="0" applyBorder="1"/>
    <xf numFmtId="0" fontId="11" fillId="0" borderId="0" xfId="0" applyFont="1" applyFill="1" applyAlignment="1">
      <alignment horizontal="center"/>
    </xf>
    <xf numFmtId="0" fontId="7" fillId="0" borderId="0" xfId="0" applyFont="1" applyFill="1" applyAlignment="1">
      <alignment horizontal="center"/>
    </xf>
    <xf numFmtId="0" fontId="0" fillId="0" borderId="0" xfId="0" applyFill="1" applyBorder="1"/>
    <xf numFmtId="0" fontId="0" fillId="0" borderId="0" xfId="0" applyFill="1"/>
    <xf numFmtId="0" fontId="7" fillId="0" borderId="0" xfId="0" applyFont="1" applyFill="1" applyBorder="1" applyAlignment="1">
      <alignment horizontal="center"/>
    </xf>
    <xf numFmtId="0" fontId="11" fillId="0" borderId="0" xfId="0" applyFont="1" applyFill="1" applyAlignment="1">
      <alignment horizontal="left"/>
    </xf>
    <xf numFmtId="0" fontId="11" fillId="0" borderId="1" xfId="0" applyFont="1" applyBorder="1"/>
    <xf numFmtId="0" fontId="12" fillId="0" borderId="1" xfId="0" applyFont="1" applyBorder="1" applyAlignment="1">
      <alignment horizontal="center"/>
    </xf>
    <xf numFmtId="0" fontId="0" fillId="0" borderId="1" xfId="0" applyBorder="1"/>
    <xf numFmtId="0" fontId="12" fillId="0" borderId="1" xfId="0" applyFont="1" applyFill="1" applyBorder="1" applyAlignment="1">
      <alignment horizontal="center"/>
    </xf>
    <xf numFmtId="0" fontId="11" fillId="0" borderId="0" xfId="0" applyFont="1" applyBorder="1" applyAlignment="1">
      <alignment horizontal="center"/>
    </xf>
    <xf numFmtId="0" fontId="0" fillId="0" borderId="0" xfId="0" applyAlignment="1">
      <alignment horizontal="center"/>
    </xf>
    <xf numFmtId="0" fontId="12" fillId="0" borderId="0" xfId="0" applyFont="1" applyFill="1" applyBorder="1"/>
    <xf numFmtId="0" fontId="11" fillId="0" borderId="0" xfId="0" applyFont="1" applyFill="1" applyBorder="1" applyAlignment="1">
      <alignment horizontal="center"/>
    </xf>
    <xf numFmtId="0" fontId="9" fillId="3" borderId="1" xfId="0" applyFont="1" applyFill="1" applyBorder="1" applyAlignment="1" applyProtection="1"/>
    <xf numFmtId="0" fontId="11" fillId="0" borderId="0" xfId="0" applyFont="1" applyBorder="1"/>
    <xf numFmtId="0" fontId="12" fillId="0" borderId="2" xfId="0" applyFont="1" applyFill="1" applyBorder="1" applyAlignment="1">
      <alignment horizontal="center"/>
    </xf>
    <xf numFmtId="0" fontId="12" fillId="0" borderId="2" xfId="0" applyFont="1" applyBorder="1"/>
    <xf numFmtId="0" fontId="0" fillId="0" borderId="2" xfId="0" applyBorder="1"/>
    <xf numFmtId="0" fontId="0" fillId="0" borderId="2" xfId="0" applyFill="1" applyBorder="1" applyAlignment="1">
      <alignment horizontal="center"/>
    </xf>
    <xf numFmtId="0" fontId="12" fillId="0" borderId="2" xfId="0" applyFont="1" applyBorder="1" applyAlignment="1">
      <alignment horizontal="center"/>
    </xf>
    <xf numFmtId="0" fontId="0" fillId="0" borderId="0" xfId="0" quotePrefix="1" applyAlignment="1">
      <alignment horizontal="center"/>
    </xf>
    <xf numFmtId="8" fontId="0" fillId="0" borderId="0" xfId="0" applyNumberFormat="1" applyAlignment="1">
      <alignment horizontal="center"/>
    </xf>
    <xf numFmtId="8" fontId="0" fillId="0" borderId="0" xfId="0" quotePrefix="1" applyNumberFormat="1" applyAlignment="1">
      <alignment horizontal="center"/>
    </xf>
    <xf numFmtId="0" fontId="12" fillId="0" borderId="0" xfId="0" applyFont="1" applyFill="1"/>
    <xf numFmtId="8" fontId="12" fillId="0" borderId="0" xfId="0" applyNumberFormat="1" applyFont="1" applyFill="1" applyBorder="1" applyAlignment="1">
      <alignment horizontal="center"/>
    </xf>
    <xf numFmtId="8" fontId="11" fillId="0" borderId="0" xfId="0" applyNumberFormat="1" applyFont="1" applyFill="1" applyAlignment="1">
      <alignment horizontal="center"/>
    </xf>
    <xf numFmtId="0" fontId="11" fillId="0" borderId="0" xfId="0" applyFont="1" applyFill="1"/>
    <xf numFmtId="0" fontId="11" fillId="0" borderId="0" xfId="0" applyFont="1" applyFill="1" applyBorder="1"/>
    <xf numFmtId="8" fontId="11" fillId="0" borderId="0" xfId="0" applyNumberFormat="1" applyFont="1" applyAlignment="1">
      <alignment horizontal="center"/>
    </xf>
    <xf numFmtId="0" fontId="12" fillId="0" borderId="0" xfId="0" applyFont="1"/>
    <xf numFmtId="8" fontId="12" fillId="0" borderId="0" xfId="0" applyNumberFormat="1" applyFont="1" applyAlignment="1">
      <alignment horizontal="center"/>
    </xf>
    <xf numFmtId="8" fontId="12" fillId="0" borderId="0" xfId="0" applyNumberFormat="1" applyFont="1"/>
    <xf numFmtId="0" fontId="12" fillId="0" borderId="0" xfId="0" applyFont="1" applyFill="1" applyBorder="1" applyAlignment="1">
      <alignment horizontal="center"/>
    </xf>
    <xf numFmtId="0" fontId="11" fillId="0" borderId="0" xfId="0" applyFont="1" applyFill="1" applyBorder="1" applyAlignment="1"/>
    <xf numFmtId="0" fontId="0" fillId="0" borderId="0" xfId="0" applyFill="1" applyBorder="1" applyAlignment="1"/>
    <xf numFmtId="0" fontId="13" fillId="0" borderId="2" xfId="0" applyFont="1" applyBorder="1"/>
    <xf numFmtId="0" fontId="0" fillId="0" borderId="2" xfId="0" applyFill="1" applyBorder="1" applyAlignment="1">
      <alignment horizontal="center" wrapText="1"/>
    </xf>
    <xf numFmtId="0" fontId="0" fillId="0" borderId="2" xfId="0" applyBorder="1" applyAlignment="1">
      <alignment horizontal="center"/>
    </xf>
    <xf numFmtId="0" fontId="0" fillId="0" borderId="0" xfId="0" applyFill="1" applyBorder="1" applyAlignment="1">
      <alignment horizontal="center"/>
    </xf>
    <xf numFmtId="0" fontId="0" fillId="0" borderId="0" xfId="0" quotePrefix="1" applyFill="1" applyBorder="1" applyAlignment="1">
      <alignment horizontal="left"/>
    </xf>
    <xf numFmtId="0" fontId="0" fillId="0" borderId="0" xfId="0" quotePrefix="1" applyFill="1" applyBorder="1" applyAlignment="1">
      <alignment horizontal="center"/>
    </xf>
    <xf numFmtId="0" fontId="12" fillId="0" borderId="0" xfId="0" applyFont="1" applyAlignment="1">
      <alignment horizontal="center"/>
    </xf>
    <xf numFmtId="0" fontId="0" fillId="0" borderId="0" xfId="0" applyFill="1" applyAlignment="1">
      <alignment horizontal="center"/>
    </xf>
    <xf numFmtId="8" fontId="11" fillId="0" borderId="0" xfId="0" applyNumberFormat="1" applyFont="1"/>
    <xf numFmtId="0" fontId="13" fillId="0" borderId="2" xfId="0" applyFont="1" applyFill="1" applyBorder="1"/>
    <xf numFmtId="8" fontId="7" fillId="0" borderId="0" xfId="0" applyNumberFormat="1" applyFont="1" applyFill="1"/>
    <xf numFmtId="0" fontId="0" fillId="0" borderId="0" xfId="0" quotePrefix="1" applyFill="1"/>
    <xf numFmtId="0" fontId="14" fillId="0" borderId="0" xfId="0" applyFont="1"/>
    <xf numFmtId="0" fontId="14" fillId="0" borderId="0" xfId="0" applyFont="1" applyFill="1"/>
    <xf numFmtId="9" fontId="7" fillId="0" borderId="0" xfId="0" applyNumberFormat="1" applyFont="1" applyFill="1" applyAlignment="1">
      <alignment horizontal="center"/>
    </xf>
    <xf numFmtId="0" fontId="12" fillId="0" borderId="0" xfId="0" applyFont="1" applyBorder="1" applyAlignment="1">
      <alignment horizontal="center"/>
    </xf>
    <xf numFmtId="0" fontId="13" fillId="0" borderId="0" xfId="0" applyFont="1"/>
    <xf numFmtId="0" fontId="11" fillId="0" borderId="0" xfId="0" applyFont="1" applyAlignment="1">
      <alignment horizontal="center"/>
    </xf>
    <xf numFmtId="0" fontId="12" fillId="0" borderId="0" xfId="0" applyFont="1" applyFill="1" applyAlignment="1">
      <alignment horizontal="center"/>
    </xf>
    <xf numFmtId="8" fontId="0" fillId="0" borderId="2" xfId="0" applyNumberFormat="1" applyBorder="1" applyAlignment="1">
      <alignment horizontal="center"/>
    </xf>
    <xf numFmtId="8" fontId="11" fillId="0" borderId="2" xfId="0" applyNumberFormat="1" applyFont="1" applyBorder="1" applyAlignment="1">
      <alignment horizontal="center"/>
    </xf>
    <xf numFmtId="0" fontId="10" fillId="4" borderId="1" xfId="0" applyFont="1" applyFill="1" applyBorder="1" applyAlignment="1"/>
    <xf numFmtId="167" fontId="12" fillId="0" borderId="0" xfId="0" applyNumberFormat="1" applyFont="1" applyFill="1" applyAlignment="1">
      <alignment horizontal="center"/>
    </xf>
    <xf numFmtId="6" fontId="7" fillId="0" borderId="0" xfId="0" applyNumberFormat="1" applyFont="1" applyFill="1" applyAlignment="1">
      <alignment horizontal="center"/>
    </xf>
    <xf numFmtId="0" fontId="7" fillId="0" borderId="0" xfId="0" applyNumberFormat="1" applyFont="1" applyFill="1" applyAlignment="1">
      <alignment horizontal="center"/>
    </xf>
    <xf numFmtId="167" fontId="11" fillId="0" borderId="0" xfId="0" applyNumberFormat="1" applyFont="1" applyFill="1" applyAlignment="1">
      <alignment horizontal="center"/>
    </xf>
    <xf numFmtId="8" fontId="0" fillId="0" borderId="0" xfId="0" applyNumberFormat="1" applyFill="1" applyAlignment="1">
      <alignment horizontal="center"/>
    </xf>
    <xf numFmtId="0" fontId="0" fillId="0" borderId="2" xfId="0" applyFill="1" applyBorder="1"/>
    <xf numFmtId="0" fontId="11" fillId="0" borderId="2" xfId="0" applyFont="1" applyFill="1" applyBorder="1"/>
    <xf numFmtId="0" fontId="12" fillId="0" borderId="0" xfId="0" applyFont="1" applyFill="1" applyBorder="1" applyAlignment="1">
      <alignment horizontal="left"/>
    </xf>
    <xf numFmtId="0" fontId="14" fillId="0" borderId="0" xfId="0" applyFont="1" applyBorder="1"/>
    <xf numFmtId="8" fontId="0" fillId="0" borderId="0" xfId="0" applyNumberFormat="1"/>
    <xf numFmtId="8" fontId="11" fillId="0" borderId="0" xfId="0" applyNumberFormat="1" applyFont="1" applyFill="1" applyBorder="1" applyAlignment="1">
      <alignment horizontal="center"/>
    </xf>
    <xf numFmtId="0" fontId="0" fillId="0" borderId="0" xfId="0" applyAlignment="1">
      <alignment horizontal="right"/>
    </xf>
    <xf numFmtId="8" fontId="11" fillId="0" borderId="0" xfId="0" applyNumberFormat="1" applyFont="1" applyBorder="1" applyAlignment="1">
      <alignment horizontal="center"/>
    </xf>
    <xf numFmtId="10" fontId="7" fillId="0" borderId="0" xfId="0" applyNumberFormat="1" applyFont="1" applyFill="1" applyAlignment="1">
      <alignment horizontal="center"/>
    </xf>
    <xf numFmtId="10" fontId="12" fillId="0" borderId="2" xfId="0" applyNumberFormat="1" applyFont="1" applyFill="1" applyBorder="1" applyAlignment="1">
      <alignment horizontal="center"/>
    </xf>
    <xf numFmtId="0" fontId="13" fillId="0" borderId="0" xfId="0" applyFont="1" applyFill="1"/>
    <xf numFmtId="9" fontId="7" fillId="0" borderId="0" xfId="0" applyNumberFormat="1" applyFont="1" applyFill="1" applyBorder="1" applyAlignment="1">
      <alignment horizontal="center"/>
    </xf>
    <xf numFmtId="9" fontId="12" fillId="0" borderId="0" xfId="0" applyNumberFormat="1" applyFont="1" applyFill="1" applyBorder="1" applyAlignment="1">
      <alignment horizontal="center"/>
    </xf>
    <xf numFmtId="0" fontId="11" fillId="0" borderId="1" xfId="0" applyFont="1" applyFill="1" applyBorder="1"/>
    <xf numFmtId="0" fontId="9" fillId="4" borderId="1" xfId="0" applyFont="1" applyFill="1" applyBorder="1" applyAlignment="1" applyProtection="1"/>
    <xf numFmtId="0" fontId="18" fillId="0" borderId="0" xfId="0" applyFont="1" applyFill="1"/>
    <xf numFmtId="0" fontId="11" fillId="4" borderId="1" xfId="0" applyFont="1" applyFill="1" applyBorder="1"/>
    <xf numFmtId="0" fontId="11" fillId="4" borderId="1" xfId="0" applyFont="1" applyFill="1" applyBorder="1" applyAlignment="1">
      <alignment horizontal="center"/>
    </xf>
    <xf numFmtId="0" fontId="11" fillId="0" borderId="0" xfId="0" quotePrefix="1" applyFont="1" applyFill="1" applyBorder="1" applyAlignment="1">
      <alignment horizontal="center"/>
    </xf>
    <xf numFmtId="0" fontId="11" fillId="4" borderId="1" xfId="0" applyFont="1" applyFill="1" applyBorder="1" applyAlignment="1"/>
    <xf numFmtId="0" fontId="0" fillId="4" borderId="1" xfId="0" applyFill="1" applyBorder="1" applyAlignment="1"/>
    <xf numFmtId="8" fontId="0" fillId="0" borderId="0" xfId="0" applyNumberFormat="1" applyBorder="1" applyAlignment="1">
      <alignment horizontal="center"/>
    </xf>
    <xf numFmtId="0" fontId="12" fillId="0" borderId="0" xfId="0" applyFont="1" applyFill="1" applyBorder="1" applyAlignment="1"/>
    <xf numFmtId="0" fontId="0" fillId="4" borderId="1" xfId="0" applyFill="1" applyBorder="1" applyAlignment="1">
      <alignment horizontal="center"/>
    </xf>
    <xf numFmtId="8" fontId="12" fillId="0" borderId="0" xfId="0" applyNumberFormat="1" applyFont="1" applyFill="1" applyAlignment="1" applyProtection="1">
      <alignment horizontal="center"/>
    </xf>
    <xf numFmtId="0" fontId="12" fillId="0" borderId="0" xfId="0" applyFont="1" applyFill="1" applyProtection="1"/>
    <xf numFmtId="0" fontId="10" fillId="3" borderId="1" xfId="0" applyFont="1" applyFill="1" applyBorder="1" applyAlignment="1"/>
    <xf numFmtId="0" fontId="18" fillId="0" borderId="0" xfId="0" applyFont="1"/>
    <xf numFmtId="0" fontId="11" fillId="3" borderId="1" xfId="0" applyFont="1" applyFill="1" applyBorder="1"/>
    <xf numFmtId="0" fontId="11" fillId="3" borderId="1" xfId="0" applyFont="1" applyFill="1" applyBorder="1" applyAlignment="1">
      <alignment horizontal="center"/>
    </xf>
    <xf numFmtId="0" fontId="11" fillId="3" borderId="1" xfId="0" applyFont="1" applyFill="1" applyBorder="1" applyAlignment="1"/>
    <xf numFmtId="0" fontId="0" fillId="3" borderId="1" xfId="0" applyFill="1" applyBorder="1" applyAlignment="1"/>
    <xf numFmtId="0" fontId="0" fillId="0" borderId="0" xfId="0" applyNumberFormat="1" applyAlignment="1">
      <alignment horizontal="center"/>
    </xf>
    <xf numFmtId="8" fontId="12" fillId="0" borderId="0" xfId="0" applyNumberFormat="1" applyFont="1" applyFill="1" applyAlignment="1">
      <alignment horizontal="center"/>
    </xf>
    <xf numFmtId="164" fontId="12" fillId="0" borderId="0" xfId="0" quotePrefix="1" applyNumberFormat="1" applyFont="1" applyFill="1" applyBorder="1" applyAlignment="1">
      <alignment horizontal="center"/>
    </xf>
    <xf numFmtId="171" fontId="0" fillId="0" borderId="0" xfId="0" applyNumberFormat="1" applyAlignment="1">
      <alignment horizontal="center"/>
    </xf>
    <xf numFmtId="164" fontId="0" fillId="0" borderId="0" xfId="0" applyNumberFormat="1" applyAlignment="1">
      <alignment horizontal="center"/>
    </xf>
    <xf numFmtId="0" fontId="9" fillId="3" borderId="1" xfId="0" applyFont="1" applyFill="1" applyBorder="1" applyAlignment="1"/>
    <xf numFmtId="0" fontId="0" fillId="3" borderId="1" xfId="0" applyFill="1" applyBorder="1"/>
    <xf numFmtId="0" fontId="10" fillId="0" borderId="0" xfId="0" applyFont="1" applyFill="1" applyBorder="1" applyAlignment="1"/>
    <xf numFmtId="0" fontId="18" fillId="0" borderId="0" xfId="0" applyFont="1" applyFill="1" applyAlignment="1">
      <alignment horizontal="left"/>
    </xf>
    <xf numFmtId="0" fontId="0" fillId="0" borderId="0" xfId="0" applyFill="1" applyAlignment="1">
      <alignment horizontal="left"/>
    </xf>
    <xf numFmtId="0" fontId="0" fillId="0" borderId="1" xfId="0" applyFill="1" applyBorder="1" applyAlignment="1">
      <alignment horizontal="left"/>
    </xf>
    <xf numFmtId="0" fontId="19" fillId="5" borderId="3" xfId="0" applyFont="1" applyFill="1" applyBorder="1"/>
    <xf numFmtId="0" fontId="0" fillId="5" borderId="4" xfId="0" applyFill="1" applyBorder="1"/>
    <xf numFmtId="0" fontId="20" fillId="3" borderId="4" xfId="0" applyFont="1" applyFill="1" applyBorder="1" applyAlignment="1">
      <alignment horizontal="center"/>
    </xf>
    <xf numFmtId="0" fontId="0" fillId="5" borderId="5" xfId="0" applyFill="1" applyBorder="1"/>
    <xf numFmtId="0" fontId="0" fillId="5" borderId="0" xfId="0" applyFill="1" applyBorder="1"/>
    <xf numFmtId="9" fontId="20" fillId="5" borderId="6" xfId="0" applyNumberFormat="1" applyFont="1" applyFill="1" applyBorder="1" applyAlignment="1">
      <alignment horizontal="center"/>
    </xf>
    <xf numFmtId="9" fontId="20" fillId="5" borderId="7" xfId="0" applyNumberFormat="1" applyFont="1" applyFill="1" applyBorder="1" applyAlignment="1">
      <alignment horizontal="center"/>
    </xf>
    <xf numFmtId="0" fontId="11" fillId="3" borderId="7" xfId="0" applyFont="1" applyFill="1" applyBorder="1"/>
    <xf numFmtId="9" fontId="20" fillId="5" borderId="8" xfId="0" applyNumberFormat="1" applyFont="1" applyFill="1" applyBorder="1" applyAlignment="1">
      <alignment horizontal="center"/>
    </xf>
    <xf numFmtId="0" fontId="19" fillId="5" borderId="0" xfId="0" applyFont="1" applyFill="1" applyBorder="1" applyAlignment="1">
      <alignment horizontal="center"/>
    </xf>
    <xf numFmtId="1" fontId="19" fillId="5" borderId="9" xfId="0" applyNumberFormat="1" applyFont="1" applyFill="1" applyBorder="1" applyAlignment="1">
      <alignment horizontal="center"/>
    </xf>
    <xf numFmtId="1" fontId="19" fillId="3" borderId="9" xfId="0" applyNumberFormat="1" applyFont="1" applyFill="1" applyBorder="1" applyAlignment="1">
      <alignment horizontal="center"/>
    </xf>
    <xf numFmtId="1" fontId="19" fillId="5" borderId="10" xfId="0" applyNumberFormat="1" applyFont="1" applyFill="1" applyBorder="1" applyAlignment="1">
      <alignment horizontal="center"/>
    </xf>
    <xf numFmtId="0" fontId="19" fillId="5" borderId="2" xfId="0" applyFont="1" applyFill="1" applyBorder="1" applyAlignment="1">
      <alignment horizontal="center"/>
    </xf>
    <xf numFmtId="0" fontId="20" fillId="5" borderId="11" xfId="0" applyFont="1" applyFill="1" applyBorder="1" applyAlignment="1">
      <alignment horizontal="center"/>
    </xf>
    <xf numFmtId="0" fontId="19" fillId="5" borderId="12" xfId="0" applyFont="1" applyFill="1" applyBorder="1" applyAlignment="1">
      <alignment horizontal="center"/>
    </xf>
    <xf numFmtId="8" fontId="19" fillId="5" borderId="0" xfId="0" applyNumberFormat="1" applyFont="1" applyFill="1" applyBorder="1"/>
    <xf numFmtId="9" fontId="20" fillId="5" borderId="5" xfId="0" applyNumberFormat="1" applyFont="1" applyFill="1" applyBorder="1" applyAlignment="1">
      <alignment horizontal="center"/>
    </xf>
    <xf numFmtId="0" fontId="19" fillId="5" borderId="9" xfId="0" applyFont="1" applyFill="1" applyBorder="1" applyAlignment="1">
      <alignment horizontal="center"/>
    </xf>
    <xf numFmtId="0" fontId="20" fillId="5" borderId="13" xfId="0" applyFont="1" applyFill="1" applyBorder="1" applyAlignment="1">
      <alignment horizontal="center"/>
    </xf>
    <xf numFmtId="0" fontId="19" fillId="5" borderId="6" xfId="0" applyFont="1" applyFill="1" applyBorder="1" applyAlignment="1">
      <alignment horizontal="center"/>
    </xf>
    <xf numFmtId="8" fontId="19" fillId="5" borderId="14" xfId="0" applyNumberFormat="1" applyFont="1" applyFill="1" applyBorder="1"/>
    <xf numFmtId="0" fontId="20" fillId="5" borderId="5" xfId="0" applyFont="1" applyFill="1" applyBorder="1" applyAlignment="1">
      <alignment horizontal="center"/>
    </xf>
    <xf numFmtId="0" fontId="20" fillId="3" borderId="5" xfId="0" applyFont="1" applyFill="1" applyBorder="1" applyAlignment="1">
      <alignment horizontal="center"/>
    </xf>
    <xf numFmtId="0" fontId="19" fillId="3" borderId="9" xfId="0" applyFont="1" applyFill="1" applyBorder="1" applyAlignment="1">
      <alignment horizontal="center"/>
    </xf>
    <xf numFmtId="8" fontId="19" fillId="3" borderId="0" xfId="0" applyNumberFormat="1" applyFont="1" applyFill="1" applyBorder="1"/>
    <xf numFmtId="0" fontId="0" fillId="0" borderId="0" xfId="0" applyNumberFormat="1"/>
    <xf numFmtId="0" fontId="20" fillId="3" borderId="13" xfId="0" applyFont="1" applyFill="1" applyBorder="1" applyAlignment="1">
      <alignment horizontal="center"/>
    </xf>
    <xf numFmtId="0" fontId="19" fillId="3" borderId="6" xfId="0" applyFont="1" applyFill="1" applyBorder="1" applyAlignment="1">
      <alignment horizontal="center"/>
    </xf>
    <xf numFmtId="8" fontId="19" fillId="3" borderId="14" xfId="0" applyNumberFormat="1" applyFont="1" applyFill="1" applyBorder="1"/>
    <xf numFmtId="0" fontId="20" fillId="5" borderId="15" xfId="0" applyFont="1" applyFill="1" applyBorder="1" applyAlignment="1">
      <alignment horizontal="center"/>
    </xf>
    <xf numFmtId="0" fontId="19" fillId="5" borderId="16" xfId="0" applyFont="1" applyFill="1" applyBorder="1" applyAlignment="1">
      <alignment horizontal="center"/>
    </xf>
    <xf numFmtId="8" fontId="19" fillId="5" borderId="17" xfId="0" applyNumberFormat="1" applyFont="1" applyFill="1" applyBorder="1"/>
    <xf numFmtId="0" fontId="0" fillId="5" borderId="3" xfId="0" applyFill="1" applyBorder="1"/>
    <xf numFmtId="177" fontId="19" fillId="5" borderId="9" xfId="0" applyNumberFormat="1" applyFont="1" applyFill="1" applyBorder="1" applyAlignment="1">
      <alignment horizontal="center"/>
    </xf>
    <xf numFmtId="177" fontId="19" fillId="3" borderId="9" xfId="0" applyNumberFormat="1" applyFont="1" applyFill="1" applyBorder="1" applyAlignment="1">
      <alignment horizontal="center"/>
    </xf>
    <xf numFmtId="177" fontId="19" fillId="5" borderId="10" xfId="0" applyNumberFormat="1" applyFont="1" applyFill="1" applyBorder="1" applyAlignment="1">
      <alignment horizontal="center"/>
    </xf>
    <xf numFmtId="8" fontId="19" fillId="5" borderId="18" xfId="0" applyNumberFormat="1" applyFont="1" applyFill="1" applyBorder="1"/>
    <xf numFmtId="10" fontId="11" fillId="0" borderId="0" xfId="0" applyNumberFormat="1" applyFont="1" applyFill="1" applyAlignment="1" applyProtection="1">
      <alignment horizontal="center"/>
    </xf>
    <xf numFmtId="168" fontId="11" fillId="0" borderId="0" xfId="0" applyNumberFormat="1" applyFont="1" applyAlignment="1">
      <alignment horizontal="center"/>
    </xf>
    <xf numFmtId="0" fontId="0" fillId="4" borderId="1" xfId="0" applyFill="1" applyBorder="1"/>
    <xf numFmtId="0" fontId="0" fillId="3" borderId="1" xfId="0" applyFill="1" applyBorder="1" applyAlignment="1">
      <alignment horizontal="center"/>
    </xf>
    <xf numFmtId="8" fontId="11" fillId="3" borderId="1" xfId="0" applyNumberFormat="1" applyFont="1" applyFill="1" applyBorder="1" applyAlignment="1">
      <alignment horizontal="center"/>
    </xf>
    <xf numFmtId="0" fontId="9" fillId="4" borderId="1" xfId="0" applyFont="1" applyFill="1" applyBorder="1" applyAlignment="1"/>
    <xf numFmtId="0" fontId="20" fillId="4" borderId="4" xfId="0" applyFont="1" applyFill="1" applyBorder="1" applyAlignment="1">
      <alignment horizontal="center"/>
    </xf>
    <xf numFmtId="0" fontId="11" fillId="4" borderId="7" xfId="0" applyFont="1" applyFill="1" applyBorder="1"/>
    <xf numFmtId="1" fontId="19" fillId="4" borderId="9" xfId="0" applyNumberFormat="1" applyFont="1" applyFill="1" applyBorder="1" applyAlignment="1">
      <alignment horizontal="center"/>
    </xf>
    <xf numFmtId="0" fontId="20" fillId="4" borderId="5" xfId="0" applyFont="1" applyFill="1" applyBorder="1" applyAlignment="1">
      <alignment horizontal="center"/>
    </xf>
    <xf numFmtId="0" fontId="19" fillId="4" borderId="9" xfId="0" applyFont="1" applyFill="1" applyBorder="1" applyAlignment="1">
      <alignment horizontal="center"/>
    </xf>
    <xf numFmtId="8" fontId="19" fillId="4" borderId="0" xfId="0" applyNumberFormat="1" applyFont="1" applyFill="1" applyBorder="1"/>
    <xf numFmtId="0" fontId="20" fillId="4" borderId="13" xfId="0" applyFont="1" applyFill="1" applyBorder="1" applyAlignment="1">
      <alignment horizontal="center"/>
    </xf>
    <xf numFmtId="0" fontId="19" fillId="4" borderId="6" xfId="0" applyFont="1" applyFill="1" applyBorder="1" applyAlignment="1">
      <alignment horizontal="center"/>
    </xf>
    <xf numFmtId="8" fontId="19" fillId="4" borderId="14" xfId="0" applyNumberFormat="1" applyFont="1" applyFill="1" applyBorder="1"/>
    <xf numFmtId="0" fontId="20" fillId="0" borderId="0" xfId="0" applyFont="1" applyFill="1" applyBorder="1" applyAlignment="1">
      <alignment horizontal="center"/>
    </xf>
    <xf numFmtId="0" fontId="19" fillId="0" borderId="0" xfId="0" applyFont="1" applyFill="1" applyBorder="1" applyAlignment="1">
      <alignment horizontal="center"/>
    </xf>
    <xf numFmtId="8" fontId="19" fillId="0" borderId="0" xfId="0" applyNumberFormat="1" applyFont="1" applyFill="1" applyBorder="1"/>
    <xf numFmtId="0" fontId="12" fillId="0" borderId="0" xfId="0" applyFont="1" applyFill="1" applyBorder="1" applyAlignment="1">
      <alignment horizontal="center" vertical="center"/>
    </xf>
    <xf numFmtId="0" fontId="11" fillId="2" borderId="1" xfId="0" applyFont="1" applyFill="1" applyBorder="1" applyAlignment="1"/>
    <xf numFmtId="0" fontId="0" fillId="2" borderId="1" xfId="0" applyFill="1" applyBorder="1" applyAlignment="1"/>
    <xf numFmtId="0" fontId="0" fillId="2" borderId="19" xfId="0" applyFill="1" applyBorder="1"/>
    <xf numFmtId="0" fontId="13" fillId="2" borderId="0" xfId="0" applyFont="1" applyFill="1" applyBorder="1" applyAlignment="1">
      <alignment horizontal="center"/>
    </xf>
    <xf numFmtId="0" fontId="0" fillId="2" borderId="9" xfId="0" applyFill="1" applyBorder="1"/>
    <xf numFmtId="0" fontId="11" fillId="2" borderId="19" xfId="0" applyFont="1" applyFill="1" applyBorder="1"/>
    <xf numFmtId="0" fontId="0" fillId="2" borderId="0" xfId="0" applyFill="1" applyBorder="1" applyAlignment="1">
      <alignment horizontal="center"/>
    </xf>
    <xf numFmtId="0" fontId="12" fillId="2" borderId="19" xfId="0" applyFont="1" applyFill="1" applyBorder="1"/>
    <xf numFmtId="0" fontId="12" fillId="2" borderId="0" xfId="0" applyFont="1" applyFill="1" applyBorder="1" applyAlignment="1">
      <alignment horizontal="center"/>
    </xf>
    <xf numFmtId="0" fontId="0" fillId="2" borderId="14" xfId="0" applyFill="1" applyBorder="1"/>
    <xf numFmtId="0" fontId="0" fillId="2" borderId="2" xfId="0" applyFill="1" applyBorder="1" applyAlignment="1">
      <alignment horizontal="center"/>
    </xf>
    <xf numFmtId="0" fontId="0" fillId="2" borderId="6" xfId="0" applyFill="1" applyBorder="1"/>
    <xf numFmtId="0" fontId="0" fillId="2" borderId="0" xfId="0" applyFill="1" applyBorder="1"/>
    <xf numFmtId="168" fontId="0" fillId="2" borderId="2" xfId="0" applyNumberFormat="1" applyFill="1" applyBorder="1" applyAlignment="1">
      <alignment horizontal="center"/>
    </xf>
    <xf numFmtId="0" fontId="23" fillId="2" borderId="0" xfId="0" applyFont="1" applyFill="1"/>
    <xf numFmtId="0" fontId="11" fillId="2" borderId="0" xfId="0" applyFont="1" applyFill="1"/>
    <xf numFmtId="0" fontId="2" fillId="2" borderId="0" xfId="1" applyFill="1" applyAlignment="1" applyProtection="1"/>
    <xf numFmtId="164" fontId="12" fillId="0" borderId="0" xfId="0" applyNumberFormat="1" applyFont="1" applyAlignment="1">
      <alignment horizontal="center"/>
    </xf>
    <xf numFmtId="0" fontId="11" fillId="3" borderId="1" xfId="0" applyFont="1" applyFill="1" applyBorder="1" applyAlignment="1">
      <alignment horizontal="center" wrapText="1"/>
    </xf>
    <xf numFmtId="0" fontId="11" fillId="0" borderId="1" xfId="0" applyFont="1" applyFill="1" applyBorder="1" applyAlignment="1"/>
    <xf numFmtId="0" fontId="0" fillId="0" borderId="1" xfId="0" applyFill="1" applyBorder="1" applyAlignment="1"/>
    <xf numFmtId="0" fontId="12" fillId="0" borderId="0" xfId="0" quotePrefix="1" applyFont="1" applyFill="1" applyBorder="1" applyAlignment="1">
      <alignment horizontal="center"/>
    </xf>
    <xf numFmtId="0" fontId="21" fillId="2" borderId="0" xfId="0" applyFont="1" applyFill="1" applyAlignment="1">
      <alignment horizontal="center" wrapText="1"/>
    </xf>
    <xf numFmtId="0" fontId="25" fillId="2" borderId="0" xfId="0" applyFont="1" applyFill="1" applyAlignment="1">
      <alignment horizontal="center" vertical="center" wrapText="1"/>
    </xf>
    <xf numFmtId="0" fontId="25" fillId="2" borderId="0" xfId="0" applyFont="1" applyFill="1" applyBorder="1" applyAlignment="1">
      <alignment horizontal="center" vertical="center" wrapText="1"/>
    </xf>
    <xf numFmtId="0" fontId="27" fillId="2" borderId="0" xfId="0" applyFont="1" applyFill="1"/>
    <xf numFmtId="0" fontId="26" fillId="2" borderId="0" xfId="0" applyFont="1" applyFill="1" applyBorder="1" applyAlignment="1">
      <alignment horizontal="center" vertical="center" wrapText="1"/>
    </xf>
    <xf numFmtId="0" fontId="12" fillId="2" borderId="2" xfId="0" applyFont="1" applyFill="1" applyBorder="1" applyAlignment="1">
      <alignment horizontal="center"/>
    </xf>
    <xf numFmtId="0" fontId="11" fillId="2" borderId="0" xfId="0" applyFont="1" applyFill="1" applyBorder="1" applyAlignment="1"/>
    <xf numFmtId="0" fontId="0" fillId="2" borderId="0" xfId="0" applyFill="1" applyBorder="1" applyAlignment="1"/>
    <xf numFmtId="0" fontId="11" fillId="2" borderId="1" xfId="0" applyFont="1" applyFill="1" applyBorder="1"/>
    <xf numFmtId="0" fontId="7" fillId="6" borderId="0" xfId="0" applyFont="1" applyFill="1" applyAlignment="1" applyProtection="1">
      <alignment horizontal="center"/>
      <protection locked="0"/>
    </xf>
    <xf numFmtId="0" fontId="7" fillId="6" borderId="0" xfId="0" applyFont="1" applyFill="1" applyBorder="1" applyAlignment="1" applyProtection="1">
      <alignment horizontal="center"/>
      <protection locked="0"/>
    </xf>
    <xf numFmtId="0" fontId="7" fillId="6" borderId="1" xfId="0" applyFont="1" applyFill="1" applyBorder="1" applyAlignment="1" applyProtection="1">
      <alignment horizontal="center"/>
      <protection locked="0"/>
    </xf>
    <xf numFmtId="8" fontId="7" fillId="6" borderId="0" xfId="0" applyNumberFormat="1" applyFont="1" applyFill="1" applyBorder="1" applyAlignment="1" applyProtection="1">
      <alignment horizontal="center"/>
      <protection locked="0"/>
    </xf>
    <xf numFmtId="0" fontId="7" fillId="6" borderId="0" xfId="0" applyFont="1" applyFill="1" applyProtection="1">
      <protection locked="0"/>
    </xf>
    <xf numFmtId="3" fontId="7" fillId="6" borderId="0" xfId="0" applyNumberFormat="1" applyFont="1" applyFill="1" applyBorder="1" applyAlignment="1" applyProtection="1">
      <alignment horizontal="center"/>
      <protection locked="0"/>
    </xf>
    <xf numFmtId="164" fontId="7" fillId="6" borderId="0" xfId="0" applyNumberFormat="1" applyFont="1" applyFill="1" applyBorder="1" applyAlignment="1" applyProtection="1">
      <alignment horizontal="center"/>
      <protection locked="0"/>
    </xf>
    <xf numFmtId="8" fontId="7" fillId="6" borderId="0" xfId="0" applyNumberFormat="1" applyFont="1" applyFill="1" applyAlignment="1" applyProtection="1">
      <alignment horizontal="right"/>
      <protection locked="0"/>
    </xf>
    <xf numFmtId="0" fontId="7" fillId="6" borderId="0" xfId="0" applyFont="1" applyFill="1" applyAlignment="1" applyProtection="1">
      <alignment horizontal="left"/>
      <protection locked="0"/>
    </xf>
    <xf numFmtId="0" fontId="7" fillId="6" borderId="0" xfId="0" quotePrefix="1" applyFont="1" applyFill="1" applyAlignment="1" applyProtection="1">
      <alignment horizontal="left"/>
      <protection locked="0"/>
    </xf>
    <xf numFmtId="8" fontId="7" fillId="6" borderId="0" xfId="0" applyNumberFormat="1" applyFont="1" applyFill="1" applyAlignment="1" applyProtection="1">
      <alignment horizontal="center"/>
      <protection locked="0"/>
    </xf>
    <xf numFmtId="9" fontId="7" fillId="6" borderId="0" xfId="0" applyNumberFormat="1" applyFont="1" applyFill="1" applyAlignment="1" applyProtection="1">
      <alignment horizontal="center"/>
      <protection locked="0"/>
    </xf>
    <xf numFmtId="0" fontId="7" fillId="6" borderId="0" xfId="0" quotePrefix="1" applyFont="1" applyFill="1" applyProtection="1">
      <protection locked="0"/>
    </xf>
    <xf numFmtId="8" fontId="7" fillId="6" borderId="0" xfId="0" applyNumberFormat="1" applyFont="1" applyFill="1" applyProtection="1">
      <protection locked="0"/>
    </xf>
    <xf numFmtId="0" fontId="24" fillId="6" borderId="0" xfId="0" applyFont="1" applyFill="1" applyProtection="1">
      <protection locked="0"/>
    </xf>
    <xf numFmtId="166" fontId="7" fillId="6" borderId="0" xfId="0" applyNumberFormat="1" applyFont="1" applyFill="1" applyAlignment="1" applyProtection="1">
      <alignment horizontal="right"/>
      <protection locked="0"/>
    </xf>
    <xf numFmtId="167" fontId="7" fillId="6" borderId="0" xfId="0" applyNumberFormat="1" applyFont="1" applyFill="1" applyBorder="1" applyAlignment="1" applyProtection="1">
      <alignment horizontal="center"/>
      <protection locked="0"/>
    </xf>
    <xf numFmtId="9" fontId="7" fillId="6" borderId="0" xfId="0" applyNumberFormat="1" applyFont="1" applyFill="1" applyBorder="1" applyAlignment="1" applyProtection="1">
      <alignment horizontal="center"/>
      <protection locked="0"/>
    </xf>
    <xf numFmtId="167" fontId="7" fillId="6" borderId="0" xfId="0" applyNumberFormat="1" applyFont="1" applyFill="1" applyAlignment="1" applyProtection="1">
      <alignment horizontal="center"/>
      <protection locked="0"/>
    </xf>
    <xf numFmtId="6" fontId="7" fillId="6" borderId="0" xfId="0" applyNumberFormat="1" applyFont="1" applyFill="1" applyBorder="1" applyAlignment="1" applyProtection="1">
      <alignment horizontal="center"/>
      <protection locked="0"/>
    </xf>
    <xf numFmtId="10" fontId="7" fillId="6" borderId="0" xfId="0" applyNumberFormat="1" applyFont="1" applyFill="1" applyAlignment="1" applyProtection="1">
      <alignment horizontal="center"/>
      <protection locked="0"/>
    </xf>
    <xf numFmtId="10" fontId="7" fillId="6" borderId="0" xfId="0" applyNumberFormat="1" applyFont="1" applyFill="1" applyBorder="1" applyAlignment="1" applyProtection="1">
      <alignment horizontal="center"/>
      <protection locked="0"/>
    </xf>
    <xf numFmtId="0" fontId="0" fillId="0" borderId="0" xfId="0" applyAlignment="1">
      <alignment horizontal="left"/>
    </xf>
    <xf numFmtId="186" fontId="7" fillId="6" borderId="0" xfId="0" applyNumberFormat="1" applyFont="1" applyFill="1" applyAlignment="1" applyProtection="1">
      <alignment horizontal="center"/>
      <protection locked="0"/>
    </xf>
    <xf numFmtId="1" fontId="0" fillId="0" borderId="0" xfId="0" applyNumberFormat="1"/>
    <xf numFmtId="0" fontId="0" fillId="0" borderId="0" xfId="0" quotePrefix="1"/>
    <xf numFmtId="8" fontId="19" fillId="5" borderId="0" xfId="0" applyNumberFormat="1" applyFont="1" applyFill="1" applyBorder="1" applyAlignment="1">
      <alignment horizontal="right"/>
    </xf>
    <xf numFmtId="8" fontId="19" fillId="5" borderId="14" xfId="0" applyNumberFormat="1" applyFont="1" applyFill="1" applyBorder="1" applyAlignment="1">
      <alignment horizontal="right"/>
    </xf>
    <xf numFmtId="8" fontId="19" fillId="4" borderId="0" xfId="0" applyNumberFormat="1" applyFont="1" applyFill="1" applyBorder="1" applyAlignment="1">
      <alignment horizontal="right"/>
    </xf>
    <xf numFmtId="8" fontId="19" fillId="4" borderId="14" xfId="0" applyNumberFormat="1" applyFont="1" applyFill="1" applyBorder="1" applyAlignment="1">
      <alignment horizontal="right"/>
    </xf>
    <xf numFmtId="8" fontId="19" fillId="5" borderId="18" xfId="0" applyNumberFormat="1" applyFont="1" applyFill="1" applyBorder="1" applyAlignment="1">
      <alignment horizontal="right"/>
    </xf>
    <xf numFmtId="188" fontId="28" fillId="2" borderId="0" xfId="0" applyNumberFormat="1" applyFont="1" applyFill="1"/>
    <xf numFmtId="0" fontId="3" fillId="2" borderId="0" xfId="0" applyFont="1" applyFill="1" applyAlignment="1">
      <alignment horizontal="center" wrapText="1"/>
    </xf>
    <xf numFmtId="0" fontId="0" fillId="2" borderId="0" xfId="0" applyFill="1" applyAlignment="1">
      <alignment horizontal="left" wrapText="1"/>
    </xf>
    <xf numFmtId="0" fontId="5" fillId="2" borderId="0" xfId="0" applyFont="1" applyFill="1" applyAlignment="1">
      <alignment horizontal="center" wrapText="1"/>
    </xf>
    <xf numFmtId="0" fontId="12" fillId="2" borderId="0" xfId="0" applyFont="1" applyFill="1" applyAlignment="1">
      <alignment horizontal="left" wrapText="1"/>
    </xf>
    <xf numFmtId="0" fontId="12" fillId="0" borderId="0" xfId="0" applyFont="1" applyAlignment="1">
      <alignment horizontal="left" wrapText="1"/>
    </xf>
    <xf numFmtId="0" fontId="9" fillId="0" borderId="0" xfId="0" applyFont="1" applyFill="1" applyAlignment="1" applyProtection="1">
      <alignment horizontal="left"/>
    </xf>
    <xf numFmtId="0" fontId="10" fillId="0" borderId="0" xfId="0" applyFont="1" applyFill="1" applyAlignment="1">
      <alignment horizontal="left"/>
    </xf>
    <xf numFmtId="0" fontId="11" fillId="0" borderId="1" xfId="0" applyFont="1" applyFill="1" applyBorder="1" applyAlignment="1"/>
    <xf numFmtId="0" fontId="0" fillId="0" borderId="1" xfId="0" applyFill="1" applyBorder="1" applyAlignment="1"/>
    <xf numFmtId="0" fontId="7" fillId="6" borderId="0" xfId="0" applyFont="1" applyFill="1" applyAlignment="1" applyProtection="1">
      <alignment horizontal="center"/>
      <protection locked="0"/>
    </xf>
    <xf numFmtId="0" fontId="7" fillId="6" borderId="0" xfId="0" applyNumberFormat="1" applyFont="1" applyFill="1" applyAlignment="1" applyProtection="1">
      <alignment horizontal="center"/>
      <protection locked="0"/>
    </xf>
    <xf numFmtId="0" fontId="11" fillId="0" borderId="1" xfId="0" applyFont="1" applyFill="1" applyBorder="1" applyAlignment="1">
      <alignment horizontal="center"/>
    </xf>
    <xf numFmtId="9" fontId="7" fillId="6" borderId="20" xfId="0" applyNumberFormat="1" applyFont="1" applyFill="1" applyBorder="1" applyAlignment="1" applyProtection="1">
      <alignment horizontal="center" vertical="center" wrapText="1"/>
      <protection locked="0"/>
    </xf>
    <xf numFmtId="0" fontId="0" fillId="0" borderId="0" xfId="0" applyAlignment="1" applyProtection="1">
      <alignment vertical="center" wrapText="1"/>
      <protection locked="0"/>
    </xf>
    <xf numFmtId="0" fontId="12" fillId="0" borderId="0" xfId="0" applyFont="1" applyAlignment="1">
      <alignment horizontal="center" vertical="center" wrapText="1"/>
    </xf>
    <xf numFmtId="0" fontId="0" fillId="0" borderId="2" xfId="0" applyBorder="1" applyAlignment="1">
      <alignment horizontal="center" vertical="center" wrapText="1"/>
    </xf>
    <xf numFmtId="0" fontId="12" fillId="0" borderId="20" xfId="0" applyFont="1" applyBorder="1" applyAlignment="1">
      <alignment horizontal="center"/>
    </xf>
    <xf numFmtId="0" fontId="0" fillId="0" borderId="2" xfId="0" applyBorder="1" applyAlignment="1"/>
    <xf numFmtId="0" fontId="0" fillId="0" borderId="20" xfId="0" applyBorder="1" applyAlignment="1">
      <alignment horizontal="center" wrapText="1"/>
    </xf>
    <xf numFmtId="0" fontId="0" fillId="0" borderId="2" xfId="0" applyBorder="1" applyAlignment="1">
      <alignment horizontal="center" wrapText="1"/>
    </xf>
    <xf numFmtId="0" fontId="0" fillId="0" borderId="0" xfId="0" applyAlignment="1">
      <alignment horizontal="center" wrapText="1"/>
    </xf>
    <xf numFmtId="0" fontId="14" fillId="0" borderId="0" xfId="0" applyFont="1" applyAlignment="1">
      <alignment wrapText="1"/>
    </xf>
    <xf numFmtId="0" fontId="7" fillId="6" borderId="0" xfId="0" applyFont="1" applyFill="1" applyBorder="1" applyAlignment="1" applyProtection="1">
      <alignment horizontal="center"/>
      <protection locked="0"/>
    </xf>
    <xf numFmtId="0" fontId="7" fillId="6" borderId="0" xfId="0" applyNumberFormat="1" applyFont="1" applyFill="1" applyBorder="1" applyAlignment="1" applyProtection="1">
      <alignment horizontal="center"/>
      <protection locked="0"/>
    </xf>
    <xf numFmtId="0" fontId="7" fillId="6" borderId="4" xfId="0" applyFont="1" applyFill="1" applyBorder="1" applyAlignment="1" applyProtection="1">
      <alignment horizontal="center"/>
      <protection locked="0"/>
    </xf>
    <xf numFmtId="0" fontId="9" fillId="0" borderId="0" xfId="0" applyFont="1" applyFill="1" applyAlignment="1" applyProtection="1"/>
    <xf numFmtId="0" fontId="10" fillId="0" borderId="0" xfId="0" applyFont="1" applyFill="1" applyAlignment="1"/>
    <xf numFmtId="0" fontId="17" fillId="0" borderId="0" xfId="0" applyFont="1" applyFill="1" applyAlignment="1"/>
    <xf numFmtId="0" fontId="0" fillId="0" borderId="0" xfId="0" applyAlignment="1"/>
    <xf numFmtId="0" fontId="9" fillId="4" borderId="1" xfId="0" applyFont="1" applyFill="1" applyBorder="1" applyAlignment="1" applyProtection="1"/>
    <xf numFmtId="0" fontId="10" fillId="4" borderId="1" xfId="0" applyFont="1" applyFill="1" applyBorder="1" applyAlignment="1"/>
    <xf numFmtId="0" fontId="9" fillId="3" borderId="1" xfId="0" applyFont="1" applyFill="1" applyBorder="1" applyAlignment="1" applyProtection="1"/>
    <xf numFmtId="0" fontId="10" fillId="3" borderId="1" xfId="0" applyFont="1" applyFill="1" applyBorder="1" applyAlignment="1"/>
    <xf numFmtId="0" fontId="11" fillId="5" borderId="4" xfId="0" applyFont="1" applyFill="1" applyBorder="1" applyAlignment="1">
      <alignment horizontal="center" vertical="center"/>
    </xf>
    <xf numFmtId="0" fontId="11" fillId="5" borderId="0" xfId="0" applyFont="1" applyFill="1" applyBorder="1" applyAlignment="1">
      <alignment horizontal="center" vertical="center"/>
    </xf>
    <xf numFmtId="0" fontId="20" fillId="5" borderId="4" xfId="0" applyFont="1" applyFill="1" applyBorder="1" applyAlignment="1">
      <alignment horizontal="center"/>
    </xf>
    <xf numFmtId="8" fontId="12" fillId="5" borderId="22" xfId="0" applyNumberFormat="1" applyFont="1" applyFill="1" applyBorder="1" applyAlignment="1">
      <alignment horizontal="center" vertical="center"/>
    </xf>
    <xf numFmtId="0" fontId="12" fillId="5" borderId="22" xfId="0" applyFont="1" applyFill="1" applyBorder="1" applyAlignment="1">
      <alignment horizontal="center" vertical="center"/>
    </xf>
    <xf numFmtId="0" fontId="12" fillId="5" borderId="24" xfId="0" applyFont="1" applyFill="1" applyBorder="1" applyAlignment="1">
      <alignment horizontal="center" vertical="center"/>
    </xf>
    <xf numFmtId="0" fontId="11" fillId="5" borderId="13" xfId="0" applyFont="1" applyFill="1" applyBorder="1" applyAlignment="1">
      <alignment horizontal="center"/>
    </xf>
    <xf numFmtId="0" fontId="11" fillId="5" borderId="2" xfId="0" applyFont="1" applyFill="1" applyBorder="1" applyAlignment="1">
      <alignment horizontal="center"/>
    </xf>
    <xf numFmtId="8" fontId="12" fillId="3" borderId="22" xfId="0" applyNumberFormat="1" applyFont="1" applyFill="1" applyBorder="1" applyAlignment="1">
      <alignment horizontal="center" vertical="center"/>
    </xf>
    <xf numFmtId="0" fontId="12" fillId="3" borderId="22" xfId="0" applyFont="1" applyFill="1" applyBorder="1" applyAlignment="1">
      <alignment horizontal="center" vertical="center"/>
    </xf>
    <xf numFmtId="0" fontId="20" fillId="3" borderId="5" xfId="0" applyFont="1" applyFill="1" applyBorder="1" applyAlignment="1">
      <alignment horizontal="center" vertical="center"/>
    </xf>
    <xf numFmtId="8" fontId="12" fillId="5" borderId="23" xfId="0" applyNumberFormat="1" applyFont="1" applyFill="1" applyBorder="1" applyAlignment="1">
      <alignment horizontal="center" vertical="center"/>
    </xf>
    <xf numFmtId="0" fontId="12" fillId="5" borderId="23" xfId="0" applyFont="1" applyFill="1" applyBorder="1" applyAlignment="1">
      <alignment horizontal="center" vertical="center"/>
    </xf>
    <xf numFmtId="0" fontId="12" fillId="5" borderId="25" xfId="0" applyFont="1" applyFill="1" applyBorder="1" applyAlignment="1">
      <alignment horizontal="center" vertical="center"/>
    </xf>
    <xf numFmtId="0" fontId="12" fillId="3" borderId="24" xfId="0" applyFont="1" applyFill="1" applyBorder="1" applyAlignment="1">
      <alignment horizontal="center" vertical="center"/>
    </xf>
    <xf numFmtId="0" fontId="20" fillId="5" borderId="21" xfId="0" applyFont="1" applyFill="1" applyBorder="1" applyAlignment="1">
      <alignment horizontal="center"/>
    </xf>
    <xf numFmtId="8" fontId="12" fillId="3" borderId="23" xfId="0" applyNumberFormat="1" applyFont="1" applyFill="1" applyBorder="1" applyAlignment="1">
      <alignment horizontal="center" vertical="center"/>
    </xf>
    <xf numFmtId="0" fontId="12" fillId="3" borderId="23" xfId="0" applyFont="1" applyFill="1" applyBorder="1" applyAlignment="1">
      <alignment horizontal="center" vertical="center"/>
    </xf>
    <xf numFmtId="0" fontId="9" fillId="4" borderId="26" xfId="0" applyFont="1" applyFill="1" applyBorder="1" applyAlignment="1" applyProtection="1">
      <alignment horizontal="left"/>
    </xf>
    <xf numFmtId="0" fontId="9" fillId="3" borderId="26" xfId="0" applyFont="1" applyFill="1" applyBorder="1" applyAlignment="1" applyProtection="1">
      <alignment horizontal="left"/>
    </xf>
    <xf numFmtId="8" fontId="12" fillId="5" borderId="27" xfId="0" applyNumberFormat="1" applyFont="1" applyFill="1" applyBorder="1" applyAlignment="1">
      <alignment horizontal="center" vertical="center"/>
    </xf>
    <xf numFmtId="8" fontId="12" fillId="5" borderId="28" xfId="0" applyNumberFormat="1" applyFont="1" applyFill="1" applyBorder="1" applyAlignment="1">
      <alignment horizontal="center" vertical="center"/>
    </xf>
    <xf numFmtId="8" fontId="12" fillId="5" borderId="7" xfId="0" applyNumberFormat="1" applyFont="1" applyFill="1" applyBorder="1" applyAlignment="1">
      <alignment horizontal="center" vertical="center"/>
    </xf>
    <xf numFmtId="8" fontId="12" fillId="3" borderId="27" xfId="0" applyNumberFormat="1" applyFont="1" applyFill="1" applyBorder="1" applyAlignment="1">
      <alignment horizontal="center" vertical="center"/>
    </xf>
    <xf numFmtId="8" fontId="12" fillId="3" borderId="28" xfId="0" applyNumberFormat="1" applyFont="1" applyFill="1" applyBorder="1" applyAlignment="1">
      <alignment horizontal="center" vertical="center"/>
    </xf>
    <xf numFmtId="8" fontId="12" fillId="3" borderId="7" xfId="0" applyNumberFormat="1" applyFont="1" applyFill="1" applyBorder="1" applyAlignment="1">
      <alignment horizontal="center" vertical="center"/>
    </xf>
    <xf numFmtId="8" fontId="12" fillId="4" borderId="22" xfId="0" applyNumberFormat="1" applyFont="1" applyFill="1" applyBorder="1" applyAlignment="1">
      <alignment horizontal="center" vertical="center"/>
    </xf>
    <xf numFmtId="0" fontId="12" fillId="4" borderId="22" xfId="0" applyFont="1" applyFill="1" applyBorder="1" applyAlignment="1">
      <alignment horizontal="center" vertical="center"/>
    </xf>
    <xf numFmtId="0" fontId="12" fillId="4" borderId="24" xfId="0" applyFont="1" applyFill="1" applyBorder="1" applyAlignment="1">
      <alignment horizontal="center" vertical="center"/>
    </xf>
    <xf numFmtId="0" fontId="20" fillId="4" borderId="5" xfId="0" applyFont="1" applyFill="1" applyBorder="1" applyAlignment="1">
      <alignment horizontal="center" vertical="center"/>
    </xf>
    <xf numFmtId="8" fontId="12" fillId="5" borderId="29" xfId="0" applyNumberFormat="1" applyFont="1" applyFill="1" applyBorder="1" applyAlignment="1">
      <alignment horizontal="center" vertical="center"/>
    </xf>
    <xf numFmtId="8" fontId="12" fillId="5" borderId="8" xfId="0" applyNumberFormat="1" applyFont="1" applyFill="1" applyBorder="1" applyAlignment="1">
      <alignment horizontal="center" vertical="center"/>
    </xf>
    <xf numFmtId="8" fontId="12" fillId="4" borderId="23" xfId="0" applyNumberFormat="1" applyFont="1" applyFill="1" applyBorder="1" applyAlignment="1">
      <alignment horizontal="center" vertical="center"/>
    </xf>
    <xf numFmtId="0" fontId="12" fillId="4" borderId="23" xfId="0" applyFont="1" applyFill="1" applyBorder="1" applyAlignment="1">
      <alignment horizontal="center" vertical="center"/>
    </xf>
    <xf numFmtId="8" fontId="12" fillId="5" borderId="17" xfId="0" applyNumberFormat="1" applyFont="1" applyFill="1" applyBorder="1" applyAlignment="1">
      <alignment horizontal="center" vertical="center"/>
    </xf>
    <xf numFmtId="8" fontId="12" fillId="3" borderId="17" xfId="0" applyNumberFormat="1" applyFont="1" applyFill="1" applyBorder="1" applyAlignment="1">
      <alignment horizontal="center" vertical="center"/>
    </xf>
    <xf numFmtId="8" fontId="12" fillId="3" borderId="29" xfId="0" applyNumberFormat="1" applyFont="1" applyFill="1" applyBorder="1" applyAlignment="1">
      <alignment horizontal="center" vertical="center"/>
    </xf>
    <xf numFmtId="8" fontId="12" fillId="3" borderId="8" xfId="0" applyNumberFormat="1" applyFont="1" applyFill="1" applyBorder="1" applyAlignment="1">
      <alignment horizontal="center" vertical="center"/>
    </xf>
    <xf numFmtId="8" fontId="12" fillId="5" borderId="30" xfId="0" applyNumberFormat="1" applyFont="1" applyFill="1" applyBorder="1" applyAlignment="1">
      <alignment horizontal="center" vertical="center"/>
    </xf>
    <xf numFmtId="0" fontId="11" fillId="2" borderId="1" xfId="0" applyFont="1" applyFill="1" applyBorder="1" applyAlignment="1"/>
    <xf numFmtId="0" fontId="0" fillId="2" borderId="1" xfId="0" applyFill="1" applyBorder="1" applyAlignment="1"/>
    <xf numFmtId="0" fontId="21" fillId="2" borderId="0" xfId="0" applyFont="1" applyFill="1" applyAlignment="1">
      <alignment horizontal="center" wrapText="1"/>
    </xf>
    <xf numFmtId="0" fontId="0" fillId="0" borderId="0" xfId="0" applyAlignment="1">
      <alignment wrapText="1"/>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9525</xdr:colOff>
      <xdr:row>0</xdr:row>
      <xdr:rowOff>0</xdr:rowOff>
    </xdr:from>
    <xdr:to>
      <xdr:col>7</xdr:col>
      <xdr:colOff>0</xdr:colOff>
      <xdr:row>6</xdr:row>
      <xdr:rowOff>133350</xdr:rowOff>
    </xdr:to>
    <xdr:pic>
      <xdr:nvPicPr>
        <xdr:cNvPr id="104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457325" y="0"/>
          <a:ext cx="2428875" cy="1133475"/>
        </a:xfrm>
        <a:prstGeom prst="rect">
          <a:avLst/>
        </a:prstGeom>
        <a:noFill/>
        <a:ln w="1">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457200</xdr:colOff>
      <xdr:row>5</xdr:row>
      <xdr:rowOff>0</xdr:rowOff>
    </xdr:to>
    <xdr:pic>
      <xdr:nvPicPr>
        <xdr:cNvPr id="12310"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9050" y="19050"/>
          <a:ext cx="1809750" cy="790575"/>
        </a:xfrm>
        <a:prstGeom prst="rect">
          <a:avLst/>
        </a:prstGeom>
        <a:noFill/>
        <a:ln w="1">
          <a:noFill/>
          <a:miter lim="800000"/>
          <a:headEnd/>
          <a:tailEnd/>
        </a:ln>
      </xdr:spPr>
    </xdr:pic>
    <xdr:clientData/>
  </xdr:twoCellAnchor>
  <xdr:twoCellAnchor>
    <xdr:from>
      <xdr:col>0</xdr:col>
      <xdr:colOff>190500</xdr:colOff>
      <xdr:row>51</xdr:row>
      <xdr:rowOff>19050</xdr:rowOff>
    </xdr:from>
    <xdr:to>
      <xdr:col>9</xdr:col>
      <xdr:colOff>57150</xdr:colOff>
      <xdr:row>68</xdr:row>
      <xdr:rowOff>38100</xdr:rowOff>
    </xdr:to>
    <xdr:grpSp>
      <xdr:nvGrpSpPr>
        <xdr:cNvPr id="12311" name="Group 2"/>
        <xdr:cNvGrpSpPr>
          <a:grpSpLocks/>
        </xdr:cNvGrpSpPr>
      </xdr:nvGrpSpPr>
      <xdr:grpSpPr bwMode="auto">
        <a:xfrm rot="10525">
          <a:off x="190500" y="8382000"/>
          <a:ext cx="5505450" cy="2771775"/>
          <a:chOff x="492" y="1713"/>
          <a:chExt cx="3717" cy="2075"/>
        </a:xfrm>
      </xdr:grpSpPr>
      <xdr:sp macro="" textlink="">
        <xdr:nvSpPr>
          <xdr:cNvPr id="12312" name="Freeform 3"/>
          <xdr:cNvSpPr>
            <a:spLocks/>
          </xdr:cNvSpPr>
        </xdr:nvSpPr>
        <xdr:spPr bwMode="auto">
          <a:xfrm>
            <a:off x="2138" y="3220"/>
            <a:ext cx="822" cy="414"/>
          </a:xfrm>
          <a:custGeom>
            <a:avLst/>
            <a:gdLst>
              <a:gd name="T0" fmla="*/ 0 w 2013"/>
              <a:gd name="T1" fmla="*/ 0 h 938"/>
              <a:gd name="T2" fmla="*/ 0 w 2013"/>
              <a:gd name="T3" fmla="*/ 0 h 938"/>
              <a:gd name="T4" fmla="*/ 0 w 2013"/>
              <a:gd name="T5" fmla="*/ 0 h 938"/>
              <a:gd name="T6" fmla="*/ 0 w 2013"/>
              <a:gd name="T7" fmla="*/ 0 h 938"/>
              <a:gd name="T8" fmla="*/ 0 w 2013"/>
              <a:gd name="T9" fmla="*/ 0 h 938"/>
              <a:gd name="T10" fmla="*/ 0 w 2013"/>
              <a:gd name="T11" fmla="*/ 0 h 938"/>
              <a:gd name="T12" fmla="*/ 0 w 2013"/>
              <a:gd name="T13" fmla="*/ 0 h 938"/>
              <a:gd name="T14" fmla="*/ 0 w 2013"/>
              <a:gd name="T15" fmla="*/ 0 h 938"/>
              <a:gd name="T16" fmla="*/ 0 w 2013"/>
              <a:gd name="T17" fmla="*/ 0 h 938"/>
              <a:gd name="T18" fmla="*/ 0 w 2013"/>
              <a:gd name="T19" fmla="*/ 0 h 938"/>
              <a:gd name="T20" fmla="*/ 0 w 2013"/>
              <a:gd name="T21" fmla="*/ 0 h 938"/>
              <a:gd name="T22" fmla="*/ 0 w 2013"/>
              <a:gd name="T23" fmla="*/ 0 h 938"/>
              <a:gd name="T24" fmla="*/ 0 w 2013"/>
              <a:gd name="T25" fmla="*/ 0 h 938"/>
              <a:gd name="T26" fmla="*/ 0 w 2013"/>
              <a:gd name="T27" fmla="*/ 0 h 938"/>
              <a:gd name="T28" fmla="*/ 0 w 2013"/>
              <a:gd name="T29" fmla="*/ 0 h 938"/>
              <a:gd name="T30" fmla="*/ 0 w 2013"/>
              <a:gd name="T31" fmla="*/ 0 h 938"/>
              <a:gd name="T32" fmla="*/ 0 w 2013"/>
              <a:gd name="T33" fmla="*/ 0 h 938"/>
              <a:gd name="T34" fmla="*/ 0 w 2013"/>
              <a:gd name="T35" fmla="*/ 0 h 938"/>
              <a:gd name="T36" fmla="*/ 0 w 2013"/>
              <a:gd name="T37" fmla="*/ 0 h 938"/>
              <a:gd name="T38" fmla="*/ 0 w 2013"/>
              <a:gd name="T39" fmla="*/ 0 h 938"/>
              <a:gd name="T40" fmla="*/ 0 w 2013"/>
              <a:gd name="T41" fmla="*/ 0 h 938"/>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w 2013"/>
              <a:gd name="T64" fmla="*/ 0 h 938"/>
              <a:gd name="T65" fmla="*/ 2013 w 2013"/>
              <a:gd name="T66" fmla="*/ 938 h 938"/>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T63" t="T64" r="T65" b="T66"/>
            <a:pathLst>
              <a:path w="2013" h="938">
                <a:moveTo>
                  <a:pt x="0" y="938"/>
                </a:moveTo>
                <a:lnTo>
                  <a:pt x="2002" y="938"/>
                </a:lnTo>
                <a:lnTo>
                  <a:pt x="2013" y="0"/>
                </a:lnTo>
                <a:lnTo>
                  <a:pt x="1482" y="0"/>
                </a:lnTo>
                <a:lnTo>
                  <a:pt x="1272" y="88"/>
                </a:lnTo>
                <a:lnTo>
                  <a:pt x="1076" y="120"/>
                </a:lnTo>
                <a:lnTo>
                  <a:pt x="1032" y="130"/>
                </a:lnTo>
                <a:lnTo>
                  <a:pt x="835" y="98"/>
                </a:lnTo>
                <a:lnTo>
                  <a:pt x="687" y="67"/>
                </a:lnTo>
                <a:lnTo>
                  <a:pt x="605" y="54"/>
                </a:lnTo>
                <a:lnTo>
                  <a:pt x="573" y="23"/>
                </a:lnTo>
                <a:lnTo>
                  <a:pt x="188" y="23"/>
                </a:lnTo>
                <a:lnTo>
                  <a:pt x="178" y="196"/>
                </a:lnTo>
                <a:lnTo>
                  <a:pt x="200" y="346"/>
                </a:lnTo>
                <a:lnTo>
                  <a:pt x="83" y="367"/>
                </a:lnTo>
                <a:lnTo>
                  <a:pt x="64" y="477"/>
                </a:lnTo>
                <a:lnTo>
                  <a:pt x="31" y="477"/>
                </a:lnTo>
                <a:lnTo>
                  <a:pt x="21" y="704"/>
                </a:lnTo>
                <a:lnTo>
                  <a:pt x="9" y="711"/>
                </a:lnTo>
                <a:lnTo>
                  <a:pt x="9" y="928"/>
                </a:lnTo>
                <a:lnTo>
                  <a:pt x="0" y="938"/>
                </a:lnTo>
                <a:close/>
              </a:path>
            </a:pathLst>
          </a:custGeom>
          <a:noFill/>
          <a:ln w="27051">
            <a:solidFill>
              <a:srgbClr val="000000"/>
            </a:solidFill>
            <a:prstDash val="solid"/>
            <a:round/>
            <a:headEnd/>
            <a:tailEnd/>
          </a:ln>
        </xdr:spPr>
      </xdr:sp>
      <xdr:sp macro="" textlink="">
        <xdr:nvSpPr>
          <xdr:cNvPr id="12313" name="Freeform 4"/>
          <xdr:cNvSpPr>
            <a:spLocks/>
          </xdr:cNvSpPr>
        </xdr:nvSpPr>
        <xdr:spPr bwMode="auto">
          <a:xfrm>
            <a:off x="2968" y="1855"/>
            <a:ext cx="897" cy="870"/>
          </a:xfrm>
          <a:custGeom>
            <a:avLst/>
            <a:gdLst>
              <a:gd name="T0" fmla="*/ 0 w 2192"/>
              <a:gd name="T1" fmla="*/ 0 h 1973"/>
              <a:gd name="T2" fmla="*/ 0 w 2192"/>
              <a:gd name="T3" fmla="*/ 0 h 1973"/>
              <a:gd name="T4" fmla="*/ 0 w 2192"/>
              <a:gd name="T5" fmla="*/ 0 h 1973"/>
              <a:gd name="T6" fmla="*/ 0 w 2192"/>
              <a:gd name="T7" fmla="*/ 0 h 1973"/>
              <a:gd name="T8" fmla="*/ 0 w 2192"/>
              <a:gd name="T9" fmla="*/ 0 h 1973"/>
              <a:gd name="T10" fmla="*/ 0 w 2192"/>
              <a:gd name="T11" fmla="*/ 0 h 1973"/>
              <a:gd name="T12" fmla="*/ 0 w 2192"/>
              <a:gd name="T13" fmla="*/ 0 h 1973"/>
              <a:gd name="T14" fmla="*/ 0 w 2192"/>
              <a:gd name="T15" fmla="*/ 0 h 1973"/>
              <a:gd name="T16" fmla="*/ 0 w 2192"/>
              <a:gd name="T17" fmla="*/ 0 h 1973"/>
              <a:gd name="T18" fmla="*/ 0 w 2192"/>
              <a:gd name="T19" fmla="*/ 0 h 1973"/>
              <a:gd name="T20" fmla="*/ 0 w 2192"/>
              <a:gd name="T21" fmla="*/ 0 h 1973"/>
              <a:gd name="T22" fmla="*/ 0 w 2192"/>
              <a:gd name="T23" fmla="*/ 0 h 1973"/>
              <a:gd name="T24" fmla="*/ 0 w 2192"/>
              <a:gd name="T25" fmla="*/ 0 h 1973"/>
              <a:gd name="T26" fmla="*/ 0 w 2192"/>
              <a:gd name="T27" fmla="*/ 0 h 1973"/>
              <a:gd name="T28" fmla="*/ 0 w 2192"/>
              <a:gd name="T29" fmla="*/ 0 h 1973"/>
              <a:gd name="T30" fmla="*/ 0 w 2192"/>
              <a:gd name="T31" fmla="*/ 0 h 1973"/>
              <a:gd name="T32" fmla="*/ 0 w 2192"/>
              <a:gd name="T33" fmla="*/ 0 h 1973"/>
              <a:gd name="T34" fmla="*/ 0 w 2192"/>
              <a:gd name="T35" fmla="*/ 0 h 1973"/>
              <a:gd name="T36" fmla="*/ 0 w 2192"/>
              <a:gd name="T37" fmla="*/ 0 h 1973"/>
              <a:gd name="T38" fmla="*/ 0 w 2192"/>
              <a:gd name="T39" fmla="*/ 0 h 1973"/>
              <a:gd name="T40" fmla="*/ 0 w 2192"/>
              <a:gd name="T41" fmla="*/ 0 h 1973"/>
              <a:gd name="T42" fmla="*/ 0 w 2192"/>
              <a:gd name="T43" fmla="*/ 0 h 1973"/>
              <a:gd name="T44" fmla="*/ 0 w 2192"/>
              <a:gd name="T45" fmla="*/ 0 h 1973"/>
              <a:gd name="T46" fmla="*/ 0 w 2192"/>
              <a:gd name="T47" fmla="*/ 0 h 1973"/>
              <a:gd name="T48" fmla="*/ 0 w 2192"/>
              <a:gd name="T49" fmla="*/ 0 h 1973"/>
              <a:gd name="T50" fmla="*/ 0 w 2192"/>
              <a:gd name="T51" fmla="*/ 0 h 1973"/>
              <a:gd name="T52" fmla="*/ 0 w 2192"/>
              <a:gd name="T53" fmla="*/ 0 h 1973"/>
              <a:gd name="T54" fmla="*/ 0 w 2192"/>
              <a:gd name="T55" fmla="*/ 0 h 1973"/>
              <a:gd name="T56" fmla="*/ 0 w 2192"/>
              <a:gd name="T57" fmla="*/ 0 h 1973"/>
              <a:gd name="T58" fmla="*/ 0 w 2192"/>
              <a:gd name="T59" fmla="*/ 0 h 1973"/>
              <a:gd name="T60" fmla="*/ 0 w 2192"/>
              <a:gd name="T61" fmla="*/ 0 h 1973"/>
              <a:gd name="T62" fmla="*/ 0 w 2192"/>
              <a:gd name="T63" fmla="*/ 0 h 1973"/>
              <a:gd name="T64" fmla="*/ 0 w 2192"/>
              <a:gd name="T65" fmla="*/ 0 h 1973"/>
              <a:gd name="T66" fmla="*/ 0 w 2192"/>
              <a:gd name="T67" fmla="*/ 0 h 1973"/>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2192"/>
              <a:gd name="T103" fmla="*/ 0 h 1973"/>
              <a:gd name="T104" fmla="*/ 2192 w 2192"/>
              <a:gd name="T105" fmla="*/ 1973 h 1973"/>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2192" h="1973">
                <a:moveTo>
                  <a:pt x="0" y="0"/>
                </a:moveTo>
                <a:lnTo>
                  <a:pt x="0" y="1963"/>
                </a:lnTo>
                <a:lnTo>
                  <a:pt x="107" y="1973"/>
                </a:lnTo>
                <a:lnTo>
                  <a:pt x="107" y="1940"/>
                </a:lnTo>
                <a:lnTo>
                  <a:pt x="220" y="1930"/>
                </a:lnTo>
                <a:lnTo>
                  <a:pt x="220" y="1908"/>
                </a:lnTo>
                <a:lnTo>
                  <a:pt x="271" y="1918"/>
                </a:lnTo>
                <a:lnTo>
                  <a:pt x="336" y="1918"/>
                </a:lnTo>
                <a:lnTo>
                  <a:pt x="357" y="1888"/>
                </a:lnTo>
                <a:lnTo>
                  <a:pt x="440" y="1888"/>
                </a:lnTo>
                <a:lnTo>
                  <a:pt x="440" y="1662"/>
                </a:lnTo>
                <a:lnTo>
                  <a:pt x="1815" y="1662"/>
                </a:lnTo>
                <a:lnTo>
                  <a:pt x="1815" y="1736"/>
                </a:lnTo>
                <a:lnTo>
                  <a:pt x="2192" y="1746"/>
                </a:lnTo>
                <a:lnTo>
                  <a:pt x="2192" y="1649"/>
                </a:lnTo>
                <a:lnTo>
                  <a:pt x="2110" y="1402"/>
                </a:lnTo>
                <a:lnTo>
                  <a:pt x="2066" y="1261"/>
                </a:lnTo>
                <a:lnTo>
                  <a:pt x="1962" y="1132"/>
                </a:lnTo>
                <a:lnTo>
                  <a:pt x="1952" y="1069"/>
                </a:lnTo>
                <a:lnTo>
                  <a:pt x="1994" y="808"/>
                </a:lnTo>
                <a:lnTo>
                  <a:pt x="1776" y="563"/>
                </a:lnTo>
                <a:lnTo>
                  <a:pt x="1753" y="530"/>
                </a:lnTo>
                <a:lnTo>
                  <a:pt x="1649" y="496"/>
                </a:lnTo>
                <a:lnTo>
                  <a:pt x="1534" y="335"/>
                </a:lnTo>
                <a:lnTo>
                  <a:pt x="1305" y="216"/>
                </a:lnTo>
                <a:lnTo>
                  <a:pt x="1129" y="183"/>
                </a:lnTo>
                <a:lnTo>
                  <a:pt x="929" y="23"/>
                </a:lnTo>
                <a:lnTo>
                  <a:pt x="669" y="74"/>
                </a:lnTo>
                <a:lnTo>
                  <a:pt x="597" y="66"/>
                </a:lnTo>
                <a:lnTo>
                  <a:pt x="483" y="32"/>
                </a:lnTo>
                <a:lnTo>
                  <a:pt x="472" y="32"/>
                </a:lnTo>
                <a:lnTo>
                  <a:pt x="397" y="74"/>
                </a:lnTo>
                <a:lnTo>
                  <a:pt x="241" y="74"/>
                </a:lnTo>
                <a:lnTo>
                  <a:pt x="0" y="0"/>
                </a:lnTo>
                <a:close/>
              </a:path>
            </a:pathLst>
          </a:custGeom>
          <a:noFill/>
          <a:ln w="27051">
            <a:solidFill>
              <a:srgbClr val="000000"/>
            </a:solidFill>
            <a:prstDash val="solid"/>
            <a:round/>
            <a:headEnd/>
            <a:tailEnd/>
          </a:ln>
        </xdr:spPr>
      </xdr:sp>
      <xdr:sp macro="" textlink="">
        <xdr:nvSpPr>
          <xdr:cNvPr id="12314" name="Freeform 5"/>
          <xdr:cNvSpPr>
            <a:spLocks/>
          </xdr:cNvSpPr>
        </xdr:nvSpPr>
        <xdr:spPr bwMode="auto">
          <a:xfrm>
            <a:off x="2970" y="3175"/>
            <a:ext cx="1239" cy="471"/>
          </a:xfrm>
          <a:custGeom>
            <a:avLst/>
            <a:gdLst>
              <a:gd name="T0" fmla="*/ 0 w 3035"/>
              <a:gd name="T1" fmla="*/ 0 h 1066"/>
              <a:gd name="T2" fmla="*/ 0 w 3035"/>
              <a:gd name="T3" fmla="*/ 0 h 1066"/>
              <a:gd name="T4" fmla="*/ 0 w 3035"/>
              <a:gd name="T5" fmla="*/ 0 h 1066"/>
              <a:gd name="T6" fmla="*/ 0 w 3035"/>
              <a:gd name="T7" fmla="*/ 0 h 1066"/>
              <a:gd name="T8" fmla="*/ 0 w 3035"/>
              <a:gd name="T9" fmla="*/ 0 h 1066"/>
              <a:gd name="T10" fmla="*/ 0 w 3035"/>
              <a:gd name="T11" fmla="*/ 0 h 1066"/>
              <a:gd name="T12" fmla="*/ 0 w 3035"/>
              <a:gd name="T13" fmla="*/ 0 h 1066"/>
              <a:gd name="T14" fmla="*/ 0 w 3035"/>
              <a:gd name="T15" fmla="*/ 0 h 1066"/>
              <a:gd name="T16" fmla="*/ 0 w 3035"/>
              <a:gd name="T17" fmla="*/ 0 h 1066"/>
              <a:gd name="T18" fmla="*/ 0 w 3035"/>
              <a:gd name="T19" fmla="*/ 0 h 1066"/>
              <a:gd name="T20" fmla="*/ 0 w 3035"/>
              <a:gd name="T21" fmla="*/ 0 h 1066"/>
              <a:gd name="T22" fmla="*/ 0 w 3035"/>
              <a:gd name="T23" fmla="*/ 0 h 1066"/>
              <a:gd name="T24" fmla="*/ 0 w 3035"/>
              <a:gd name="T25" fmla="*/ 0 h 1066"/>
              <a:gd name="T26" fmla="*/ 0 w 3035"/>
              <a:gd name="T27" fmla="*/ 0 h 1066"/>
              <a:gd name="T28" fmla="*/ 0 w 3035"/>
              <a:gd name="T29" fmla="*/ 0 h 1066"/>
              <a:gd name="T30" fmla="*/ 0 w 3035"/>
              <a:gd name="T31" fmla="*/ 0 h 106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3035"/>
              <a:gd name="T49" fmla="*/ 0 h 1066"/>
              <a:gd name="T50" fmla="*/ 3035 w 3035"/>
              <a:gd name="T51" fmla="*/ 1066 h 1066"/>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3035" h="1066">
                <a:moveTo>
                  <a:pt x="11" y="128"/>
                </a:moveTo>
                <a:lnTo>
                  <a:pt x="0" y="1066"/>
                </a:lnTo>
                <a:lnTo>
                  <a:pt x="3035" y="1066"/>
                </a:lnTo>
                <a:lnTo>
                  <a:pt x="2921" y="839"/>
                </a:lnTo>
                <a:lnTo>
                  <a:pt x="2849" y="809"/>
                </a:lnTo>
                <a:lnTo>
                  <a:pt x="2818" y="690"/>
                </a:lnTo>
                <a:lnTo>
                  <a:pt x="2745" y="625"/>
                </a:lnTo>
                <a:lnTo>
                  <a:pt x="2514" y="173"/>
                </a:lnTo>
                <a:lnTo>
                  <a:pt x="2409" y="128"/>
                </a:lnTo>
                <a:lnTo>
                  <a:pt x="2409" y="0"/>
                </a:lnTo>
                <a:lnTo>
                  <a:pt x="1890" y="20"/>
                </a:lnTo>
                <a:lnTo>
                  <a:pt x="1890" y="430"/>
                </a:lnTo>
                <a:lnTo>
                  <a:pt x="1379" y="430"/>
                </a:lnTo>
                <a:lnTo>
                  <a:pt x="1379" y="128"/>
                </a:lnTo>
                <a:lnTo>
                  <a:pt x="0" y="128"/>
                </a:lnTo>
                <a:lnTo>
                  <a:pt x="11" y="128"/>
                </a:lnTo>
                <a:close/>
              </a:path>
            </a:pathLst>
          </a:custGeom>
          <a:noFill/>
          <a:ln w="27051">
            <a:solidFill>
              <a:srgbClr val="000000"/>
            </a:solidFill>
            <a:prstDash val="solid"/>
            <a:round/>
            <a:headEnd/>
            <a:tailEnd/>
          </a:ln>
        </xdr:spPr>
      </xdr:sp>
      <xdr:sp macro="" textlink="">
        <xdr:nvSpPr>
          <xdr:cNvPr id="12315" name="Freeform 6"/>
          <xdr:cNvSpPr>
            <a:spLocks/>
          </xdr:cNvSpPr>
        </xdr:nvSpPr>
        <xdr:spPr bwMode="auto">
          <a:xfrm>
            <a:off x="2156" y="2550"/>
            <a:ext cx="812" cy="728"/>
          </a:xfrm>
          <a:custGeom>
            <a:avLst/>
            <a:gdLst>
              <a:gd name="T0" fmla="*/ 0 w 1990"/>
              <a:gd name="T1" fmla="*/ 0 h 1647"/>
              <a:gd name="T2" fmla="*/ 0 w 1990"/>
              <a:gd name="T3" fmla="*/ 0 h 1647"/>
              <a:gd name="T4" fmla="*/ 0 w 1990"/>
              <a:gd name="T5" fmla="*/ 0 h 1647"/>
              <a:gd name="T6" fmla="*/ 0 w 1990"/>
              <a:gd name="T7" fmla="*/ 0 h 1647"/>
              <a:gd name="T8" fmla="*/ 0 w 1990"/>
              <a:gd name="T9" fmla="*/ 0 h 1647"/>
              <a:gd name="T10" fmla="*/ 0 w 1990"/>
              <a:gd name="T11" fmla="*/ 0 h 1647"/>
              <a:gd name="T12" fmla="*/ 0 w 1990"/>
              <a:gd name="T13" fmla="*/ 0 h 1647"/>
              <a:gd name="T14" fmla="*/ 0 w 1990"/>
              <a:gd name="T15" fmla="*/ 0 h 1647"/>
              <a:gd name="T16" fmla="*/ 0 w 1990"/>
              <a:gd name="T17" fmla="*/ 0 h 1647"/>
              <a:gd name="T18" fmla="*/ 0 w 1990"/>
              <a:gd name="T19" fmla="*/ 0 h 1647"/>
              <a:gd name="T20" fmla="*/ 0 w 1990"/>
              <a:gd name="T21" fmla="*/ 0 h 1647"/>
              <a:gd name="T22" fmla="*/ 0 w 1990"/>
              <a:gd name="T23" fmla="*/ 0 h 1647"/>
              <a:gd name="T24" fmla="*/ 0 w 1990"/>
              <a:gd name="T25" fmla="*/ 0 h 1647"/>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1990"/>
              <a:gd name="T40" fmla="*/ 0 h 1647"/>
              <a:gd name="T41" fmla="*/ 1990 w 1990"/>
              <a:gd name="T42" fmla="*/ 1647 h 1647"/>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1990" h="1647">
                <a:moveTo>
                  <a:pt x="1990" y="11"/>
                </a:moveTo>
                <a:lnTo>
                  <a:pt x="1970" y="1517"/>
                </a:lnTo>
                <a:lnTo>
                  <a:pt x="1450" y="1517"/>
                </a:lnTo>
                <a:lnTo>
                  <a:pt x="1209" y="1615"/>
                </a:lnTo>
                <a:lnTo>
                  <a:pt x="1021" y="1647"/>
                </a:lnTo>
                <a:lnTo>
                  <a:pt x="802" y="1615"/>
                </a:lnTo>
                <a:lnTo>
                  <a:pt x="584" y="1584"/>
                </a:lnTo>
                <a:lnTo>
                  <a:pt x="553" y="1540"/>
                </a:lnTo>
                <a:lnTo>
                  <a:pt x="145" y="1540"/>
                </a:lnTo>
                <a:lnTo>
                  <a:pt x="135" y="1529"/>
                </a:lnTo>
                <a:lnTo>
                  <a:pt x="10" y="1517"/>
                </a:lnTo>
                <a:lnTo>
                  <a:pt x="0" y="0"/>
                </a:lnTo>
                <a:lnTo>
                  <a:pt x="1990" y="11"/>
                </a:lnTo>
                <a:close/>
              </a:path>
            </a:pathLst>
          </a:custGeom>
          <a:noFill/>
          <a:ln w="27051">
            <a:solidFill>
              <a:srgbClr val="000000"/>
            </a:solidFill>
            <a:prstDash val="solid"/>
            <a:round/>
            <a:headEnd/>
            <a:tailEnd/>
          </a:ln>
        </xdr:spPr>
      </xdr:sp>
      <xdr:sp macro="" textlink="">
        <xdr:nvSpPr>
          <xdr:cNvPr id="12316" name="Freeform 7"/>
          <xdr:cNvSpPr>
            <a:spLocks/>
          </xdr:cNvSpPr>
        </xdr:nvSpPr>
        <xdr:spPr bwMode="auto">
          <a:xfrm>
            <a:off x="2956" y="2592"/>
            <a:ext cx="1014" cy="762"/>
          </a:xfrm>
          <a:custGeom>
            <a:avLst/>
            <a:gdLst>
              <a:gd name="T0" fmla="*/ 0 w 2483"/>
              <a:gd name="T1" fmla="*/ 0 h 1723"/>
              <a:gd name="T2" fmla="*/ 0 w 2483"/>
              <a:gd name="T3" fmla="*/ 0 h 1723"/>
              <a:gd name="T4" fmla="*/ 0 w 2483"/>
              <a:gd name="T5" fmla="*/ 0 h 1723"/>
              <a:gd name="T6" fmla="*/ 0 w 2483"/>
              <a:gd name="T7" fmla="*/ 0 h 1723"/>
              <a:gd name="T8" fmla="*/ 0 w 2483"/>
              <a:gd name="T9" fmla="*/ 0 h 1723"/>
              <a:gd name="T10" fmla="*/ 0 w 2483"/>
              <a:gd name="T11" fmla="*/ 0 h 1723"/>
              <a:gd name="T12" fmla="*/ 0 w 2483"/>
              <a:gd name="T13" fmla="*/ 0 h 1723"/>
              <a:gd name="T14" fmla="*/ 0 w 2483"/>
              <a:gd name="T15" fmla="*/ 0 h 1723"/>
              <a:gd name="T16" fmla="*/ 0 w 2483"/>
              <a:gd name="T17" fmla="*/ 0 h 1723"/>
              <a:gd name="T18" fmla="*/ 0 w 2483"/>
              <a:gd name="T19" fmla="*/ 0 h 1723"/>
              <a:gd name="T20" fmla="*/ 0 w 2483"/>
              <a:gd name="T21" fmla="*/ 0 h 1723"/>
              <a:gd name="T22" fmla="*/ 0 w 2483"/>
              <a:gd name="T23" fmla="*/ 0 h 1723"/>
              <a:gd name="T24" fmla="*/ 0 w 2483"/>
              <a:gd name="T25" fmla="*/ 0 h 1723"/>
              <a:gd name="T26" fmla="*/ 0 w 2483"/>
              <a:gd name="T27" fmla="*/ 0 h 1723"/>
              <a:gd name="T28" fmla="*/ 0 w 2483"/>
              <a:gd name="T29" fmla="*/ 0 h 1723"/>
              <a:gd name="T30" fmla="*/ 0 w 2483"/>
              <a:gd name="T31" fmla="*/ 0 h 1723"/>
              <a:gd name="T32" fmla="*/ 0 w 2483"/>
              <a:gd name="T33" fmla="*/ 0 h 1723"/>
              <a:gd name="T34" fmla="*/ 0 w 2483"/>
              <a:gd name="T35" fmla="*/ 0 h 1723"/>
              <a:gd name="T36" fmla="*/ 0 w 2483"/>
              <a:gd name="T37" fmla="*/ 0 h 1723"/>
              <a:gd name="T38" fmla="*/ 0 w 2483"/>
              <a:gd name="T39" fmla="*/ 0 h 1723"/>
              <a:gd name="T40" fmla="*/ 0 w 2483"/>
              <a:gd name="T41" fmla="*/ 0 h 1723"/>
              <a:gd name="T42" fmla="*/ 0 w 2483"/>
              <a:gd name="T43" fmla="*/ 0 h 1723"/>
              <a:gd name="T44" fmla="*/ 0 w 2483"/>
              <a:gd name="T45" fmla="*/ 0 h 1723"/>
              <a:gd name="T46" fmla="*/ 0 w 2483"/>
              <a:gd name="T47" fmla="*/ 0 h 1723"/>
              <a:gd name="T48" fmla="*/ 0 w 2483"/>
              <a:gd name="T49" fmla="*/ 0 h 1723"/>
              <a:gd name="T50" fmla="*/ 0 w 2483"/>
              <a:gd name="T51" fmla="*/ 0 h 1723"/>
              <a:gd name="T52" fmla="*/ 0 w 2483"/>
              <a:gd name="T53" fmla="*/ 0 h 1723"/>
              <a:gd name="T54" fmla="*/ 0 w 2483"/>
              <a:gd name="T55" fmla="*/ 0 h 1723"/>
              <a:gd name="T56" fmla="*/ 0 w 2483"/>
              <a:gd name="T57" fmla="*/ 0 h 1723"/>
              <a:gd name="T58" fmla="*/ 0 w 2483"/>
              <a:gd name="T59" fmla="*/ 0 h 1723"/>
              <a:gd name="T60" fmla="*/ 0 w 2483"/>
              <a:gd name="T61" fmla="*/ 0 h 1723"/>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2483"/>
              <a:gd name="T94" fmla="*/ 0 h 1723"/>
              <a:gd name="T95" fmla="*/ 2483 w 2483"/>
              <a:gd name="T96" fmla="*/ 1723 h 1723"/>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2483" h="1723">
                <a:moveTo>
                  <a:pt x="11" y="1421"/>
                </a:moveTo>
                <a:lnTo>
                  <a:pt x="1379" y="1421"/>
                </a:lnTo>
                <a:lnTo>
                  <a:pt x="1379" y="1723"/>
                </a:lnTo>
                <a:lnTo>
                  <a:pt x="1890" y="1723"/>
                </a:lnTo>
                <a:lnTo>
                  <a:pt x="1900" y="1313"/>
                </a:lnTo>
                <a:lnTo>
                  <a:pt x="2409" y="1313"/>
                </a:lnTo>
                <a:lnTo>
                  <a:pt x="2483" y="1204"/>
                </a:lnTo>
                <a:lnTo>
                  <a:pt x="2401" y="948"/>
                </a:lnTo>
                <a:lnTo>
                  <a:pt x="2401" y="794"/>
                </a:lnTo>
                <a:lnTo>
                  <a:pt x="2454" y="601"/>
                </a:lnTo>
                <a:lnTo>
                  <a:pt x="2378" y="517"/>
                </a:lnTo>
                <a:lnTo>
                  <a:pt x="2337" y="397"/>
                </a:lnTo>
                <a:lnTo>
                  <a:pt x="2263" y="325"/>
                </a:lnTo>
                <a:lnTo>
                  <a:pt x="2234" y="259"/>
                </a:lnTo>
                <a:lnTo>
                  <a:pt x="2273" y="162"/>
                </a:lnTo>
                <a:lnTo>
                  <a:pt x="2306" y="130"/>
                </a:lnTo>
                <a:lnTo>
                  <a:pt x="2244" y="75"/>
                </a:lnTo>
                <a:lnTo>
                  <a:pt x="1856" y="86"/>
                </a:lnTo>
                <a:lnTo>
                  <a:pt x="1856" y="0"/>
                </a:lnTo>
                <a:lnTo>
                  <a:pt x="482" y="0"/>
                </a:lnTo>
                <a:lnTo>
                  <a:pt x="471" y="217"/>
                </a:lnTo>
                <a:lnTo>
                  <a:pt x="398" y="217"/>
                </a:lnTo>
                <a:lnTo>
                  <a:pt x="376" y="259"/>
                </a:lnTo>
                <a:lnTo>
                  <a:pt x="251" y="259"/>
                </a:lnTo>
                <a:lnTo>
                  <a:pt x="241" y="269"/>
                </a:lnTo>
                <a:lnTo>
                  <a:pt x="147" y="281"/>
                </a:lnTo>
                <a:lnTo>
                  <a:pt x="127" y="302"/>
                </a:lnTo>
                <a:lnTo>
                  <a:pt x="31" y="302"/>
                </a:lnTo>
                <a:lnTo>
                  <a:pt x="22" y="1067"/>
                </a:lnTo>
                <a:lnTo>
                  <a:pt x="0" y="1067"/>
                </a:lnTo>
                <a:lnTo>
                  <a:pt x="11" y="1421"/>
                </a:lnTo>
                <a:close/>
              </a:path>
            </a:pathLst>
          </a:custGeom>
          <a:noFill/>
          <a:ln w="27051">
            <a:solidFill>
              <a:srgbClr val="000000"/>
            </a:solidFill>
            <a:prstDash val="solid"/>
            <a:round/>
            <a:headEnd/>
            <a:tailEnd/>
          </a:ln>
        </xdr:spPr>
      </xdr:sp>
      <xdr:sp macro="" textlink="">
        <xdr:nvSpPr>
          <xdr:cNvPr id="12317" name="Freeform 8"/>
          <xdr:cNvSpPr>
            <a:spLocks/>
          </xdr:cNvSpPr>
        </xdr:nvSpPr>
        <xdr:spPr bwMode="auto">
          <a:xfrm>
            <a:off x="1418" y="2777"/>
            <a:ext cx="797" cy="857"/>
          </a:xfrm>
          <a:custGeom>
            <a:avLst/>
            <a:gdLst>
              <a:gd name="T0" fmla="*/ 0 w 1949"/>
              <a:gd name="T1" fmla="*/ 0 h 1940"/>
              <a:gd name="T2" fmla="*/ 0 w 1949"/>
              <a:gd name="T3" fmla="*/ 0 h 1940"/>
              <a:gd name="T4" fmla="*/ 0 w 1949"/>
              <a:gd name="T5" fmla="*/ 0 h 1940"/>
              <a:gd name="T6" fmla="*/ 0 w 1949"/>
              <a:gd name="T7" fmla="*/ 0 h 1940"/>
              <a:gd name="T8" fmla="*/ 0 w 1949"/>
              <a:gd name="T9" fmla="*/ 0 h 1940"/>
              <a:gd name="T10" fmla="*/ 0 w 1949"/>
              <a:gd name="T11" fmla="*/ 0 h 1940"/>
              <a:gd name="T12" fmla="*/ 0 w 1949"/>
              <a:gd name="T13" fmla="*/ 0 h 1940"/>
              <a:gd name="T14" fmla="*/ 0 w 1949"/>
              <a:gd name="T15" fmla="*/ 0 h 1940"/>
              <a:gd name="T16" fmla="*/ 0 w 1949"/>
              <a:gd name="T17" fmla="*/ 0 h 1940"/>
              <a:gd name="T18" fmla="*/ 0 w 1949"/>
              <a:gd name="T19" fmla="*/ 0 h 1940"/>
              <a:gd name="T20" fmla="*/ 0 w 1949"/>
              <a:gd name="T21" fmla="*/ 0 h 1940"/>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949"/>
              <a:gd name="T34" fmla="*/ 0 h 1940"/>
              <a:gd name="T35" fmla="*/ 1949 w 1949"/>
              <a:gd name="T36" fmla="*/ 1940 h 1940"/>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949" h="1940">
                <a:moveTo>
                  <a:pt x="39" y="0"/>
                </a:moveTo>
                <a:lnTo>
                  <a:pt x="0" y="1940"/>
                </a:lnTo>
                <a:lnTo>
                  <a:pt x="1770" y="1940"/>
                </a:lnTo>
                <a:lnTo>
                  <a:pt x="1782" y="1479"/>
                </a:lnTo>
                <a:lnTo>
                  <a:pt x="1835" y="1489"/>
                </a:lnTo>
                <a:lnTo>
                  <a:pt x="1835" y="1359"/>
                </a:lnTo>
                <a:lnTo>
                  <a:pt x="1949" y="1348"/>
                </a:lnTo>
                <a:lnTo>
                  <a:pt x="1939" y="1014"/>
                </a:lnTo>
                <a:lnTo>
                  <a:pt x="1814" y="1002"/>
                </a:lnTo>
                <a:lnTo>
                  <a:pt x="1792" y="11"/>
                </a:lnTo>
                <a:lnTo>
                  <a:pt x="39" y="0"/>
                </a:lnTo>
                <a:close/>
              </a:path>
            </a:pathLst>
          </a:custGeom>
          <a:noFill/>
          <a:ln w="27051">
            <a:solidFill>
              <a:srgbClr val="000000"/>
            </a:solidFill>
            <a:prstDash val="solid"/>
            <a:round/>
            <a:headEnd/>
            <a:tailEnd/>
          </a:ln>
        </xdr:spPr>
      </xdr:sp>
      <xdr:sp macro="" textlink="">
        <xdr:nvSpPr>
          <xdr:cNvPr id="12318" name="Freeform 9"/>
          <xdr:cNvSpPr>
            <a:spLocks/>
          </xdr:cNvSpPr>
        </xdr:nvSpPr>
        <xdr:spPr bwMode="auto">
          <a:xfrm>
            <a:off x="1456" y="1769"/>
            <a:ext cx="1512" cy="1008"/>
          </a:xfrm>
          <a:custGeom>
            <a:avLst/>
            <a:gdLst>
              <a:gd name="T0" fmla="*/ 0 w 3702"/>
              <a:gd name="T1" fmla="*/ 0 h 2284"/>
              <a:gd name="T2" fmla="*/ 0 w 3702"/>
              <a:gd name="T3" fmla="*/ 0 h 2284"/>
              <a:gd name="T4" fmla="*/ 0 w 3702"/>
              <a:gd name="T5" fmla="*/ 0 h 2284"/>
              <a:gd name="T6" fmla="*/ 0 w 3702"/>
              <a:gd name="T7" fmla="*/ 0 h 2284"/>
              <a:gd name="T8" fmla="*/ 0 w 3702"/>
              <a:gd name="T9" fmla="*/ 0 h 2284"/>
              <a:gd name="T10" fmla="*/ 0 w 3702"/>
              <a:gd name="T11" fmla="*/ 0 h 2284"/>
              <a:gd name="T12" fmla="*/ 0 w 3702"/>
              <a:gd name="T13" fmla="*/ 0 h 2284"/>
              <a:gd name="T14" fmla="*/ 0 w 3702"/>
              <a:gd name="T15" fmla="*/ 1 h 2284"/>
              <a:gd name="T16" fmla="*/ 0 w 3702"/>
              <a:gd name="T17" fmla="*/ 1 h 2284"/>
              <a:gd name="T18" fmla="*/ 0 w 3702"/>
              <a:gd name="T19" fmla="*/ 0 h 2284"/>
              <a:gd name="T20" fmla="*/ 0 w 3702"/>
              <a:gd name="T21" fmla="*/ 0 h 2284"/>
              <a:gd name="T22" fmla="*/ 0 w 3702"/>
              <a:gd name="T23" fmla="*/ 0 h 2284"/>
              <a:gd name="T24" fmla="*/ 0 w 3702"/>
              <a:gd name="T25" fmla="*/ 0 h 2284"/>
              <a:gd name="T26" fmla="*/ 0 w 3702"/>
              <a:gd name="T27" fmla="*/ 0 h 2284"/>
              <a:gd name="T28" fmla="*/ 0 w 3702"/>
              <a:gd name="T29" fmla="*/ 0 h 2284"/>
              <a:gd name="T30" fmla="*/ 0 w 3702"/>
              <a:gd name="T31" fmla="*/ 0 h 2284"/>
              <a:gd name="T32" fmla="*/ 0 w 3702"/>
              <a:gd name="T33" fmla="*/ 0 h 2284"/>
              <a:gd name="T34" fmla="*/ 0 w 3702"/>
              <a:gd name="T35" fmla="*/ 0 h 2284"/>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3702"/>
              <a:gd name="T55" fmla="*/ 0 h 2284"/>
              <a:gd name="T56" fmla="*/ 3702 w 3702"/>
              <a:gd name="T57" fmla="*/ 2284 h 2284"/>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3702" h="2284">
                <a:moveTo>
                  <a:pt x="13" y="11"/>
                </a:moveTo>
                <a:lnTo>
                  <a:pt x="22" y="1239"/>
                </a:lnTo>
                <a:lnTo>
                  <a:pt x="41" y="1251"/>
                </a:lnTo>
                <a:lnTo>
                  <a:pt x="52" y="1410"/>
                </a:lnTo>
                <a:lnTo>
                  <a:pt x="22" y="1410"/>
                </a:lnTo>
                <a:lnTo>
                  <a:pt x="22" y="1769"/>
                </a:lnTo>
                <a:lnTo>
                  <a:pt x="52" y="1769"/>
                </a:lnTo>
                <a:lnTo>
                  <a:pt x="64" y="2274"/>
                </a:lnTo>
                <a:lnTo>
                  <a:pt x="1712" y="2284"/>
                </a:lnTo>
                <a:lnTo>
                  <a:pt x="1712" y="1769"/>
                </a:lnTo>
                <a:lnTo>
                  <a:pt x="2682" y="1769"/>
                </a:lnTo>
                <a:lnTo>
                  <a:pt x="3702" y="1780"/>
                </a:lnTo>
                <a:lnTo>
                  <a:pt x="3702" y="194"/>
                </a:lnTo>
                <a:lnTo>
                  <a:pt x="3506" y="120"/>
                </a:lnTo>
                <a:lnTo>
                  <a:pt x="3442" y="0"/>
                </a:lnTo>
                <a:lnTo>
                  <a:pt x="0" y="0"/>
                </a:lnTo>
                <a:lnTo>
                  <a:pt x="0" y="11"/>
                </a:lnTo>
                <a:lnTo>
                  <a:pt x="13" y="11"/>
                </a:lnTo>
                <a:close/>
              </a:path>
            </a:pathLst>
          </a:custGeom>
          <a:noFill/>
          <a:ln w="27051">
            <a:solidFill>
              <a:srgbClr val="000000"/>
            </a:solidFill>
            <a:prstDash val="solid"/>
            <a:round/>
            <a:headEnd/>
            <a:tailEnd/>
          </a:ln>
        </xdr:spPr>
      </xdr:sp>
      <xdr:sp macro="" textlink="">
        <xdr:nvSpPr>
          <xdr:cNvPr id="12319" name="Freeform 10"/>
          <xdr:cNvSpPr>
            <a:spLocks/>
          </xdr:cNvSpPr>
        </xdr:nvSpPr>
        <xdr:spPr bwMode="auto">
          <a:xfrm>
            <a:off x="2960" y="1855"/>
            <a:ext cx="898" cy="873"/>
          </a:xfrm>
          <a:custGeom>
            <a:avLst/>
            <a:gdLst>
              <a:gd name="T0" fmla="*/ 0 w 2199"/>
              <a:gd name="T1" fmla="*/ 0 h 1975"/>
              <a:gd name="T2" fmla="*/ 0 w 2199"/>
              <a:gd name="T3" fmla="*/ 0 h 1975"/>
              <a:gd name="T4" fmla="*/ 0 w 2199"/>
              <a:gd name="T5" fmla="*/ 0 h 1975"/>
              <a:gd name="T6" fmla="*/ 0 w 2199"/>
              <a:gd name="T7" fmla="*/ 0 h 1975"/>
              <a:gd name="T8" fmla="*/ 0 w 2199"/>
              <a:gd name="T9" fmla="*/ 0 h 1975"/>
              <a:gd name="T10" fmla="*/ 0 w 2199"/>
              <a:gd name="T11" fmla="*/ 0 h 1975"/>
              <a:gd name="T12" fmla="*/ 0 w 2199"/>
              <a:gd name="T13" fmla="*/ 0 h 1975"/>
              <a:gd name="T14" fmla="*/ 0 w 2199"/>
              <a:gd name="T15" fmla="*/ 0 h 1975"/>
              <a:gd name="T16" fmla="*/ 0 w 2199"/>
              <a:gd name="T17" fmla="*/ 0 h 1975"/>
              <a:gd name="T18" fmla="*/ 0 w 2199"/>
              <a:gd name="T19" fmla="*/ 0 h 1975"/>
              <a:gd name="T20" fmla="*/ 0 w 2199"/>
              <a:gd name="T21" fmla="*/ 0 h 1975"/>
              <a:gd name="T22" fmla="*/ 0 w 2199"/>
              <a:gd name="T23" fmla="*/ 0 h 1975"/>
              <a:gd name="T24" fmla="*/ 0 w 2199"/>
              <a:gd name="T25" fmla="*/ 0 h 1975"/>
              <a:gd name="T26" fmla="*/ 0 w 2199"/>
              <a:gd name="T27" fmla="*/ 0 h 1975"/>
              <a:gd name="T28" fmla="*/ 0 w 2199"/>
              <a:gd name="T29" fmla="*/ 0 h 1975"/>
              <a:gd name="T30" fmla="*/ 0 w 2199"/>
              <a:gd name="T31" fmla="*/ 0 h 1975"/>
              <a:gd name="T32" fmla="*/ 0 w 2199"/>
              <a:gd name="T33" fmla="*/ 0 h 1975"/>
              <a:gd name="T34" fmla="*/ 0 w 2199"/>
              <a:gd name="T35" fmla="*/ 0 h 1975"/>
              <a:gd name="T36" fmla="*/ 0 w 2199"/>
              <a:gd name="T37" fmla="*/ 0 h 1975"/>
              <a:gd name="T38" fmla="*/ 0 w 2199"/>
              <a:gd name="T39" fmla="*/ 0 h 1975"/>
              <a:gd name="T40" fmla="*/ 0 w 2199"/>
              <a:gd name="T41" fmla="*/ 0 h 1975"/>
              <a:gd name="T42" fmla="*/ 0 w 2199"/>
              <a:gd name="T43" fmla="*/ 0 h 1975"/>
              <a:gd name="T44" fmla="*/ 0 w 2199"/>
              <a:gd name="T45" fmla="*/ 0 h 1975"/>
              <a:gd name="T46" fmla="*/ 0 w 2199"/>
              <a:gd name="T47" fmla="*/ 0 h 1975"/>
              <a:gd name="T48" fmla="*/ 0 w 2199"/>
              <a:gd name="T49" fmla="*/ 0 h 1975"/>
              <a:gd name="T50" fmla="*/ 0 w 2199"/>
              <a:gd name="T51" fmla="*/ 0 h 1975"/>
              <a:gd name="T52" fmla="*/ 0 w 2199"/>
              <a:gd name="T53" fmla="*/ 0 h 1975"/>
              <a:gd name="T54" fmla="*/ 0 w 2199"/>
              <a:gd name="T55" fmla="*/ 0 h 1975"/>
              <a:gd name="T56" fmla="*/ 0 w 2199"/>
              <a:gd name="T57" fmla="*/ 0 h 1975"/>
              <a:gd name="T58" fmla="*/ 0 w 2199"/>
              <a:gd name="T59" fmla="*/ 0 h 1975"/>
              <a:gd name="T60" fmla="*/ 0 w 2199"/>
              <a:gd name="T61" fmla="*/ 0 h 1975"/>
              <a:gd name="T62" fmla="*/ 0 w 2199"/>
              <a:gd name="T63" fmla="*/ 0 h 1975"/>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2199"/>
              <a:gd name="T97" fmla="*/ 0 h 1975"/>
              <a:gd name="T98" fmla="*/ 2199 w 2199"/>
              <a:gd name="T99" fmla="*/ 1975 h 1975"/>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2199" h="1975">
                <a:moveTo>
                  <a:pt x="0" y="0"/>
                </a:moveTo>
                <a:lnTo>
                  <a:pt x="164" y="58"/>
                </a:lnTo>
                <a:lnTo>
                  <a:pt x="345" y="91"/>
                </a:lnTo>
                <a:lnTo>
                  <a:pt x="468" y="35"/>
                </a:lnTo>
                <a:lnTo>
                  <a:pt x="550" y="58"/>
                </a:lnTo>
                <a:lnTo>
                  <a:pt x="683" y="76"/>
                </a:lnTo>
                <a:lnTo>
                  <a:pt x="871" y="22"/>
                </a:lnTo>
                <a:lnTo>
                  <a:pt x="912" y="22"/>
                </a:lnTo>
                <a:lnTo>
                  <a:pt x="1218" y="212"/>
                </a:lnTo>
                <a:lnTo>
                  <a:pt x="1310" y="194"/>
                </a:lnTo>
                <a:lnTo>
                  <a:pt x="1504" y="323"/>
                </a:lnTo>
                <a:lnTo>
                  <a:pt x="1637" y="501"/>
                </a:lnTo>
                <a:lnTo>
                  <a:pt x="1753" y="527"/>
                </a:lnTo>
                <a:lnTo>
                  <a:pt x="1999" y="824"/>
                </a:lnTo>
                <a:lnTo>
                  <a:pt x="1958" y="988"/>
                </a:lnTo>
                <a:lnTo>
                  <a:pt x="1949" y="1123"/>
                </a:lnTo>
                <a:lnTo>
                  <a:pt x="2056" y="1249"/>
                </a:lnTo>
                <a:lnTo>
                  <a:pt x="2139" y="1446"/>
                </a:lnTo>
                <a:lnTo>
                  <a:pt x="2199" y="1736"/>
                </a:lnTo>
                <a:lnTo>
                  <a:pt x="1811" y="1745"/>
                </a:lnTo>
                <a:lnTo>
                  <a:pt x="1811" y="1650"/>
                </a:lnTo>
                <a:lnTo>
                  <a:pt x="436" y="1641"/>
                </a:lnTo>
                <a:lnTo>
                  <a:pt x="436" y="1874"/>
                </a:lnTo>
                <a:lnTo>
                  <a:pt x="345" y="1888"/>
                </a:lnTo>
                <a:lnTo>
                  <a:pt x="336" y="1906"/>
                </a:lnTo>
                <a:lnTo>
                  <a:pt x="229" y="1906"/>
                </a:lnTo>
                <a:lnTo>
                  <a:pt x="211" y="1924"/>
                </a:lnTo>
                <a:lnTo>
                  <a:pt x="97" y="1932"/>
                </a:lnTo>
                <a:lnTo>
                  <a:pt x="89" y="1975"/>
                </a:lnTo>
                <a:lnTo>
                  <a:pt x="0" y="1961"/>
                </a:lnTo>
                <a:lnTo>
                  <a:pt x="6" y="0"/>
                </a:lnTo>
                <a:lnTo>
                  <a:pt x="0" y="0"/>
                </a:lnTo>
                <a:close/>
              </a:path>
            </a:pathLst>
          </a:custGeom>
          <a:noFill/>
          <a:ln w="9525">
            <a:solidFill>
              <a:srgbClr val="000000"/>
            </a:solidFill>
            <a:prstDash val="solid"/>
            <a:round/>
            <a:headEnd/>
            <a:tailEnd/>
          </a:ln>
        </xdr:spPr>
      </xdr:sp>
      <xdr:sp macro="" textlink="">
        <xdr:nvSpPr>
          <xdr:cNvPr id="12320" name="Freeform 11"/>
          <xdr:cNvSpPr>
            <a:spLocks/>
          </xdr:cNvSpPr>
        </xdr:nvSpPr>
        <xdr:spPr bwMode="auto">
          <a:xfrm>
            <a:off x="2960" y="2582"/>
            <a:ext cx="1012" cy="777"/>
          </a:xfrm>
          <a:custGeom>
            <a:avLst/>
            <a:gdLst>
              <a:gd name="T0" fmla="*/ 0 w 2479"/>
              <a:gd name="T1" fmla="*/ 0 h 1757"/>
              <a:gd name="T2" fmla="*/ 0 w 2479"/>
              <a:gd name="T3" fmla="*/ 0 h 1757"/>
              <a:gd name="T4" fmla="*/ 0 w 2479"/>
              <a:gd name="T5" fmla="*/ 0 h 1757"/>
              <a:gd name="T6" fmla="*/ 0 w 2479"/>
              <a:gd name="T7" fmla="*/ 0 h 1757"/>
              <a:gd name="T8" fmla="*/ 0 w 2479"/>
              <a:gd name="T9" fmla="*/ 0 h 1757"/>
              <a:gd name="T10" fmla="*/ 0 w 2479"/>
              <a:gd name="T11" fmla="*/ 0 h 1757"/>
              <a:gd name="T12" fmla="*/ 0 w 2479"/>
              <a:gd name="T13" fmla="*/ 0 h 1757"/>
              <a:gd name="T14" fmla="*/ 0 w 2479"/>
              <a:gd name="T15" fmla="*/ 0 h 1757"/>
              <a:gd name="T16" fmla="*/ 0 w 2479"/>
              <a:gd name="T17" fmla="*/ 0 h 1757"/>
              <a:gd name="T18" fmla="*/ 0 w 2479"/>
              <a:gd name="T19" fmla="*/ 0 h 1757"/>
              <a:gd name="T20" fmla="*/ 0 w 2479"/>
              <a:gd name="T21" fmla="*/ 0 h 1757"/>
              <a:gd name="T22" fmla="*/ 0 w 2479"/>
              <a:gd name="T23" fmla="*/ 0 h 1757"/>
              <a:gd name="T24" fmla="*/ 0 w 2479"/>
              <a:gd name="T25" fmla="*/ 0 h 1757"/>
              <a:gd name="T26" fmla="*/ 0 w 2479"/>
              <a:gd name="T27" fmla="*/ 0 h 1757"/>
              <a:gd name="T28" fmla="*/ 0 w 2479"/>
              <a:gd name="T29" fmla="*/ 0 h 1757"/>
              <a:gd name="T30" fmla="*/ 0 w 2479"/>
              <a:gd name="T31" fmla="*/ 0 h 1757"/>
              <a:gd name="T32" fmla="*/ 0 w 2479"/>
              <a:gd name="T33" fmla="*/ 0 h 1757"/>
              <a:gd name="T34" fmla="*/ 0 w 2479"/>
              <a:gd name="T35" fmla="*/ 0 h 1757"/>
              <a:gd name="T36" fmla="*/ 0 w 2479"/>
              <a:gd name="T37" fmla="*/ 0 h 1757"/>
              <a:gd name="T38" fmla="*/ 0 w 2479"/>
              <a:gd name="T39" fmla="*/ 0 h 1757"/>
              <a:gd name="T40" fmla="*/ 0 w 2479"/>
              <a:gd name="T41" fmla="*/ 0 h 1757"/>
              <a:gd name="T42" fmla="*/ 0 w 2479"/>
              <a:gd name="T43" fmla="*/ 0 h 1757"/>
              <a:gd name="T44" fmla="*/ 0 w 2479"/>
              <a:gd name="T45" fmla="*/ 0 h 1757"/>
              <a:gd name="T46" fmla="*/ 0 w 2479"/>
              <a:gd name="T47" fmla="*/ 0 h 1757"/>
              <a:gd name="T48" fmla="*/ 0 w 2479"/>
              <a:gd name="T49" fmla="*/ 0 h 1757"/>
              <a:gd name="T50" fmla="*/ 0 w 2479"/>
              <a:gd name="T51" fmla="*/ 0 h 1757"/>
              <a:gd name="T52" fmla="*/ 0 w 2479"/>
              <a:gd name="T53" fmla="*/ 0 h 1757"/>
              <a:gd name="T54" fmla="*/ 0 w 2479"/>
              <a:gd name="T55" fmla="*/ 0 h 1757"/>
              <a:gd name="T56" fmla="*/ 0 w 2479"/>
              <a:gd name="T57" fmla="*/ 0 h 1757"/>
              <a:gd name="T58" fmla="*/ 0 w 2479"/>
              <a:gd name="T59" fmla="*/ 0 h 1757"/>
              <a:gd name="T60" fmla="*/ 0 w 2479"/>
              <a:gd name="T61" fmla="*/ 0 h 1757"/>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2479"/>
              <a:gd name="T94" fmla="*/ 0 h 1757"/>
              <a:gd name="T95" fmla="*/ 2479 w 2479"/>
              <a:gd name="T96" fmla="*/ 1757 h 1757"/>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2479" h="1757">
                <a:moveTo>
                  <a:pt x="8" y="324"/>
                </a:moveTo>
                <a:lnTo>
                  <a:pt x="123" y="324"/>
                </a:lnTo>
                <a:lnTo>
                  <a:pt x="132" y="283"/>
                </a:lnTo>
                <a:lnTo>
                  <a:pt x="246" y="291"/>
                </a:lnTo>
                <a:lnTo>
                  <a:pt x="246" y="259"/>
                </a:lnTo>
                <a:lnTo>
                  <a:pt x="371" y="265"/>
                </a:lnTo>
                <a:lnTo>
                  <a:pt x="379" y="247"/>
                </a:lnTo>
                <a:lnTo>
                  <a:pt x="462" y="247"/>
                </a:lnTo>
                <a:lnTo>
                  <a:pt x="462" y="0"/>
                </a:lnTo>
                <a:lnTo>
                  <a:pt x="1837" y="9"/>
                </a:lnTo>
                <a:lnTo>
                  <a:pt x="1837" y="87"/>
                </a:lnTo>
                <a:lnTo>
                  <a:pt x="2208" y="87"/>
                </a:lnTo>
                <a:lnTo>
                  <a:pt x="2305" y="153"/>
                </a:lnTo>
                <a:lnTo>
                  <a:pt x="2231" y="247"/>
                </a:lnTo>
                <a:lnTo>
                  <a:pt x="2273" y="394"/>
                </a:lnTo>
                <a:lnTo>
                  <a:pt x="2339" y="426"/>
                </a:lnTo>
                <a:lnTo>
                  <a:pt x="2363" y="536"/>
                </a:lnTo>
                <a:lnTo>
                  <a:pt x="2447" y="589"/>
                </a:lnTo>
                <a:lnTo>
                  <a:pt x="2396" y="792"/>
                </a:lnTo>
                <a:lnTo>
                  <a:pt x="2405" y="963"/>
                </a:lnTo>
                <a:lnTo>
                  <a:pt x="2465" y="1141"/>
                </a:lnTo>
                <a:lnTo>
                  <a:pt x="2479" y="1244"/>
                </a:lnTo>
                <a:lnTo>
                  <a:pt x="2413" y="1313"/>
                </a:lnTo>
                <a:lnTo>
                  <a:pt x="1872" y="1329"/>
                </a:lnTo>
                <a:lnTo>
                  <a:pt x="1861" y="1757"/>
                </a:lnTo>
                <a:lnTo>
                  <a:pt x="1368" y="1745"/>
                </a:lnTo>
                <a:lnTo>
                  <a:pt x="1358" y="1447"/>
                </a:lnTo>
                <a:lnTo>
                  <a:pt x="0" y="1447"/>
                </a:lnTo>
                <a:lnTo>
                  <a:pt x="18" y="320"/>
                </a:lnTo>
                <a:lnTo>
                  <a:pt x="26" y="320"/>
                </a:lnTo>
                <a:lnTo>
                  <a:pt x="8" y="324"/>
                </a:lnTo>
                <a:close/>
              </a:path>
            </a:pathLst>
          </a:custGeom>
          <a:noFill/>
          <a:ln w="6350">
            <a:solidFill>
              <a:srgbClr val="000000"/>
            </a:solidFill>
            <a:prstDash val="solid"/>
            <a:round/>
            <a:headEnd/>
            <a:tailEnd/>
          </a:ln>
        </xdr:spPr>
      </xdr:sp>
      <xdr:sp macro="" textlink="">
        <xdr:nvSpPr>
          <xdr:cNvPr id="12321" name="Freeform 12"/>
          <xdr:cNvSpPr>
            <a:spLocks/>
          </xdr:cNvSpPr>
        </xdr:nvSpPr>
        <xdr:spPr bwMode="auto">
          <a:xfrm>
            <a:off x="2956" y="3162"/>
            <a:ext cx="1249" cy="486"/>
          </a:xfrm>
          <a:custGeom>
            <a:avLst/>
            <a:gdLst>
              <a:gd name="T0" fmla="*/ 0 w 3057"/>
              <a:gd name="T1" fmla="*/ 0 h 1100"/>
              <a:gd name="T2" fmla="*/ 0 w 3057"/>
              <a:gd name="T3" fmla="*/ 0 h 1100"/>
              <a:gd name="T4" fmla="*/ 0 w 3057"/>
              <a:gd name="T5" fmla="*/ 0 h 1100"/>
              <a:gd name="T6" fmla="*/ 0 w 3057"/>
              <a:gd name="T7" fmla="*/ 0 h 1100"/>
              <a:gd name="T8" fmla="*/ 0 w 3057"/>
              <a:gd name="T9" fmla="*/ 0 h 1100"/>
              <a:gd name="T10" fmla="*/ 0 w 3057"/>
              <a:gd name="T11" fmla="*/ 0 h 1100"/>
              <a:gd name="T12" fmla="*/ 0 w 3057"/>
              <a:gd name="T13" fmla="*/ 0 h 1100"/>
              <a:gd name="T14" fmla="*/ 0 w 3057"/>
              <a:gd name="T15" fmla="*/ 0 h 1100"/>
              <a:gd name="T16" fmla="*/ 0 w 3057"/>
              <a:gd name="T17" fmla="*/ 0 h 1100"/>
              <a:gd name="T18" fmla="*/ 0 w 3057"/>
              <a:gd name="T19" fmla="*/ 0 h 1100"/>
              <a:gd name="T20" fmla="*/ 0 w 3057"/>
              <a:gd name="T21" fmla="*/ 0 h 1100"/>
              <a:gd name="T22" fmla="*/ 0 w 3057"/>
              <a:gd name="T23" fmla="*/ 0 h 1100"/>
              <a:gd name="T24" fmla="*/ 0 w 3057"/>
              <a:gd name="T25" fmla="*/ 0 h 1100"/>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3057"/>
              <a:gd name="T40" fmla="*/ 0 h 1100"/>
              <a:gd name="T41" fmla="*/ 3057 w 3057"/>
              <a:gd name="T42" fmla="*/ 1100 h 1100"/>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3057" h="1100">
                <a:moveTo>
                  <a:pt x="9" y="140"/>
                </a:moveTo>
                <a:lnTo>
                  <a:pt x="1371" y="140"/>
                </a:lnTo>
                <a:lnTo>
                  <a:pt x="1371" y="446"/>
                </a:lnTo>
                <a:lnTo>
                  <a:pt x="1881" y="446"/>
                </a:lnTo>
                <a:lnTo>
                  <a:pt x="1881" y="8"/>
                </a:lnTo>
                <a:lnTo>
                  <a:pt x="2422" y="0"/>
                </a:lnTo>
                <a:lnTo>
                  <a:pt x="2414" y="148"/>
                </a:lnTo>
                <a:lnTo>
                  <a:pt x="2514" y="174"/>
                </a:lnTo>
                <a:lnTo>
                  <a:pt x="2646" y="454"/>
                </a:lnTo>
                <a:lnTo>
                  <a:pt x="2840" y="821"/>
                </a:lnTo>
                <a:lnTo>
                  <a:pt x="3057" y="1100"/>
                </a:lnTo>
                <a:lnTo>
                  <a:pt x="0" y="1064"/>
                </a:lnTo>
                <a:lnTo>
                  <a:pt x="9" y="140"/>
                </a:lnTo>
                <a:close/>
              </a:path>
            </a:pathLst>
          </a:custGeom>
          <a:noFill/>
          <a:ln w="6350">
            <a:solidFill>
              <a:srgbClr val="000000"/>
            </a:solidFill>
            <a:prstDash val="solid"/>
            <a:round/>
            <a:headEnd/>
            <a:tailEnd/>
          </a:ln>
        </xdr:spPr>
      </xdr:sp>
      <xdr:sp macro="" textlink="">
        <xdr:nvSpPr>
          <xdr:cNvPr id="12322" name="Freeform 13"/>
          <xdr:cNvSpPr>
            <a:spLocks/>
          </xdr:cNvSpPr>
        </xdr:nvSpPr>
        <xdr:spPr bwMode="auto">
          <a:xfrm>
            <a:off x="2156" y="2546"/>
            <a:ext cx="811" cy="733"/>
          </a:xfrm>
          <a:custGeom>
            <a:avLst/>
            <a:gdLst>
              <a:gd name="T0" fmla="*/ 0 w 1986"/>
              <a:gd name="T1" fmla="*/ 0 h 1658"/>
              <a:gd name="T2" fmla="*/ 0 w 1986"/>
              <a:gd name="T3" fmla="*/ 0 h 1658"/>
              <a:gd name="T4" fmla="*/ 0 w 1986"/>
              <a:gd name="T5" fmla="*/ 0 h 1658"/>
              <a:gd name="T6" fmla="*/ 0 w 1986"/>
              <a:gd name="T7" fmla="*/ 0 h 1658"/>
              <a:gd name="T8" fmla="*/ 0 w 1986"/>
              <a:gd name="T9" fmla="*/ 0 h 1658"/>
              <a:gd name="T10" fmla="*/ 0 w 1986"/>
              <a:gd name="T11" fmla="*/ 0 h 1658"/>
              <a:gd name="T12" fmla="*/ 0 w 1986"/>
              <a:gd name="T13" fmla="*/ 0 h 1658"/>
              <a:gd name="T14" fmla="*/ 0 w 1986"/>
              <a:gd name="T15" fmla="*/ 0 h 1658"/>
              <a:gd name="T16" fmla="*/ 0 w 1986"/>
              <a:gd name="T17" fmla="*/ 0 h 1658"/>
              <a:gd name="T18" fmla="*/ 0 w 1986"/>
              <a:gd name="T19" fmla="*/ 0 h 1658"/>
              <a:gd name="T20" fmla="*/ 0 w 1986"/>
              <a:gd name="T21" fmla="*/ 0 h 1658"/>
              <a:gd name="T22" fmla="*/ 0 w 1986"/>
              <a:gd name="T23" fmla="*/ 0 h 1658"/>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1986"/>
              <a:gd name="T37" fmla="*/ 0 h 1658"/>
              <a:gd name="T38" fmla="*/ 1986 w 1986"/>
              <a:gd name="T39" fmla="*/ 1658 h 1658"/>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1986" h="1658">
                <a:moveTo>
                  <a:pt x="0" y="1538"/>
                </a:moveTo>
                <a:lnTo>
                  <a:pt x="0" y="0"/>
                </a:lnTo>
                <a:lnTo>
                  <a:pt x="1986" y="24"/>
                </a:lnTo>
                <a:lnTo>
                  <a:pt x="1968" y="1523"/>
                </a:lnTo>
                <a:lnTo>
                  <a:pt x="1441" y="1529"/>
                </a:lnTo>
                <a:lnTo>
                  <a:pt x="1209" y="1615"/>
                </a:lnTo>
                <a:lnTo>
                  <a:pt x="1143" y="1625"/>
                </a:lnTo>
                <a:lnTo>
                  <a:pt x="988" y="1658"/>
                </a:lnTo>
                <a:lnTo>
                  <a:pt x="548" y="1571"/>
                </a:lnTo>
                <a:lnTo>
                  <a:pt x="544" y="1555"/>
                </a:lnTo>
                <a:lnTo>
                  <a:pt x="0" y="1529"/>
                </a:lnTo>
                <a:lnTo>
                  <a:pt x="0" y="1538"/>
                </a:lnTo>
                <a:close/>
              </a:path>
            </a:pathLst>
          </a:custGeom>
          <a:noFill/>
          <a:ln w="6350">
            <a:solidFill>
              <a:srgbClr val="000000"/>
            </a:solidFill>
            <a:prstDash val="solid"/>
            <a:round/>
            <a:headEnd/>
            <a:tailEnd/>
          </a:ln>
        </xdr:spPr>
      </xdr:sp>
      <xdr:sp macro="" textlink="">
        <xdr:nvSpPr>
          <xdr:cNvPr id="12323" name="Freeform 14"/>
          <xdr:cNvSpPr>
            <a:spLocks/>
          </xdr:cNvSpPr>
        </xdr:nvSpPr>
        <xdr:spPr bwMode="auto">
          <a:xfrm>
            <a:off x="1456" y="1763"/>
            <a:ext cx="1514" cy="1013"/>
          </a:xfrm>
          <a:custGeom>
            <a:avLst/>
            <a:gdLst>
              <a:gd name="T0" fmla="*/ 0 w 3707"/>
              <a:gd name="T1" fmla="*/ 0 h 2292"/>
              <a:gd name="T2" fmla="*/ 0 w 3707"/>
              <a:gd name="T3" fmla="*/ 0 h 2292"/>
              <a:gd name="T4" fmla="*/ 0 w 3707"/>
              <a:gd name="T5" fmla="*/ 0 h 2292"/>
              <a:gd name="T6" fmla="*/ 0 w 3707"/>
              <a:gd name="T7" fmla="*/ 0 h 2292"/>
              <a:gd name="T8" fmla="*/ 0 w 3707"/>
              <a:gd name="T9" fmla="*/ 0 h 2292"/>
              <a:gd name="T10" fmla="*/ 0 w 3707"/>
              <a:gd name="T11" fmla="*/ 0 h 2292"/>
              <a:gd name="T12" fmla="*/ 0 w 3707"/>
              <a:gd name="T13" fmla="*/ 1 h 2292"/>
              <a:gd name="T14" fmla="*/ 0 w 3707"/>
              <a:gd name="T15" fmla="*/ 1 h 2292"/>
              <a:gd name="T16" fmla="*/ 0 w 3707"/>
              <a:gd name="T17" fmla="*/ 0 h 2292"/>
              <a:gd name="T18" fmla="*/ 0 w 3707"/>
              <a:gd name="T19" fmla="*/ 0 h 2292"/>
              <a:gd name="T20" fmla="*/ 0 w 3707"/>
              <a:gd name="T21" fmla="*/ 0 h 2292"/>
              <a:gd name="T22" fmla="*/ 0 w 3707"/>
              <a:gd name="T23" fmla="*/ 0 h 2292"/>
              <a:gd name="T24" fmla="*/ 0 w 3707"/>
              <a:gd name="T25" fmla="*/ 0 h 2292"/>
              <a:gd name="T26" fmla="*/ 0 w 3707"/>
              <a:gd name="T27" fmla="*/ 0 h 2292"/>
              <a:gd name="T28" fmla="*/ 0 w 3707"/>
              <a:gd name="T29" fmla="*/ 0 h 2292"/>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3707"/>
              <a:gd name="T46" fmla="*/ 0 h 2292"/>
              <a:gd name="T47" fmla="*/ 3707 w 3707"/>
              <a:gd name="T48" fmla="*/ 2292 h 2292"/>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3707" h="2292">
                <a:moveTo>
                  <a:pt x="0" y="27"/>
                </a:moveTo>
                <a:lnTo>
                  <a:pt x="3450" y="0"/>
                </a:lnTo>
                <a:lnTo>
                  <a:pt x="3491" y="121"/>
                </a:lnTo>
                <a:lnTo>
                  <a:pt x="3707" y="215"/>
                </a:lnTo>
                <a:lnTo>
                  <a:pt x="3689" y="1798"/>
                </a:lnTo>
                <a:lnTo>
                  <a:pt x="1713" y="1782"/>
                </a:lnTo>
                <a:lnTo>
                  <a:pt x="1713" y="2292"/>
                </a:lnTo>
                <a:lnTo>
                  <a:pt x="55" y="2292"/>
                </a:lnTo>
                <a:lnTo>
                  <a:pt x="55" y="1782"/>
                </a:lnTo>
                <a:lnTo>
                  <a:pt x="7" y="1789"/>
                </a:lnTo>
                <a:lnTo>
                  <a:pt x="15" y="1422"/>
                </a:lnTo>
                <a:lnTo>
                  <a:pt x="50" y="1422"/>
                </a:lnTo>
                <a:lnTo>
                  <a:pt x="55" y="1278"/>
                </a:lnTo>
                <a:lnTo>
                  <a:pt x="7" y="7"/>
                </a:lnTo>
                <a:lnTo>
                  <a:pt x="0" y="27"/>
                </a:lnTo>
                <a:close/>
              </a:path>
            </a:pathLst>
          </a:custGeom>
          <a:noFill/>
          <a:ln w="6350">
            <a:solidFill>
              <a:srgbClr val="000000"/>
            </a:solidFill>
            <a:prstDash val="solid"/>
            <a:round/>
            <a:headEnd/>
            <a:tailEnd/>
          </a:ln>
        </xdr:spPr>
      </xdr:sp>
      <xdr:sp macro="" textlink="">
        <xdr:nvSpPr>
          <xdr:cNvPr id="12324" name="Freeform 15"/>
          <xdr:cNvSpPr>
            <a:spLocks/>
          </xdr:cNvSpPr>
        </xdr:nvSpPr>
        <xdr:spPr bwMode="auto">
          <a:xfrm>
            <a:off x="1422" y="2776"/>
            <a:ext cx="786" cy="865"/>
          </a:xfrm>
          <a:custGeom>
            <a:avLst/>
            <a:gdLst>
              <a:gd name="T0" fmla="*/ 0 w 1926"/>
              <a:gd name="T1" fmla="*/ 0 h 1959"/>
              <a:gd name="T2" fmla="*/ 0 w 1926"/>
              <a:gd name="T3" fmla="*/ 0 h 1959"/>
              <a:gd name="T4" fmla="*/ 0 w 1926"/>
              <a:gd name="T5" fmla="*/ 0 h 1959"/>
              <a:gd name="T6" fmla="*/ 0 w 1926"/>
              <a:gd name="T7" fmla="*/ 0 h 1959"/>
              <a:gd name="T8" fmla="*/ 0 w 1926"/>
              <a:gd name="T9" fmla="*/ 0 h 1959"/>
              <a:gd name="T10" fmla="*/ 0 w 1926"/>
              <a:gd name="T11" fmla="*/ 0 h 1959"/>
              <a:gd name="T12" fmla="*/ 0 w 1926"/>
              <a:gd name="T13" fmla="*/ 0 h 1959"/>
              <a:gd name="T14" fmla="*/ 0 w 1926"/>
              <a:gd name="T15" fmla="*/ 0 h 1959"/>
              <a:gd name="T16" fmla="*/ 0 w 1926"/>
              <a:gd name="T17" fmla="*/ 0 h 1959"/>
              <a:gd name="T18" fmla="*/ 0 w 1926"/>
              <a:gd name="T19" fmla="*/ 0 h 1959"/>
              <a:gd name="T20" fmla="*/ 0 w 1926"/>
              <a:gd name="T21" fmla="*/ 0 h 1959"/>
              <a:gd name="T22" fmla="*/ 0 w 1926"/>
              <a:gd name="T23" fmla="*/ 0 h 1959"/>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1926"/>
              <a:gd name="T37" fmla="*/ 0 h 1959"/>
              <a:gd name="T38" fmla="*/ 1926 w 1926"/>
              <a:gd name="T39" fmla="*/ 1959 h 1959"/>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1926" h="1959">
                <a:moveTo>
                  <a:pt x="41" y="8"/>
                </a:moveTo>
                <a:lnTo>
                  <a:pt x="1790" y="0"/>
                </a:lnTo>
                <a:lnTo>
                  <a:pt x="1777" y="1020"/>
                </a:lnTo>
                <a:lnTo>
                  <a:pt x="1926" y="1030"/>
                </a:lnTo>
                <a:lnTo>
                  <a:pt x="1926" y="1363"/>
                </a:lnTo>
                <a:lnTo>
                  <a:pt x="1822" y="1353"/>
                </a:lnTo>
                <a:lnTo>
                  <a:pt x="1827" y="1481"/>
                </a:lnTo>
                <a:lnTo>
                  <a:pt x="1777" y="1481"/>
                </a:lnTo>
                <a:lnTo>
                  <a:pt x="1745" y="1959"/>
                </a:lnTo>
                <a:lnTo>
                  <a:pt x="0" y="1950"/>
                </a:lnTo>
                <a:lnTo>
                  <a:pt x="24" y="24"/>
                </a:lnTo>
                <a:lnTo>
                  <a:pt x="41" y="8"/>
                </a:lnTo>
                <a:close/>
              </a:path>
            </a:pathLst>
          </a:custGeom>
          <a:noFill/>
          <a:ln w="6350">
            <a:solidFill>
              <a:srgbClr val="000000"/>
            </a:solidFill>
            <a:prstDash val="solid"/>
            <a:round/>
            <a:headEnd/>
            <a:tailEnd/>
          </a:ln>
        </xdr:spPr>
      </xdr:sp>
      <xdr:sp macro="" textlink="">
        <xdr:nvSpPr>
          <xdr:cNvPr id="12325" name="Freeform 16"/>
          <xdr:cNvSpPr>
            <a:spLocks/>
          </xdr:cNvSpPr>
        </xdr:nvSpPr>
        <xdr:spPr bwMode="auto">
          <a:xfrm>
            <a:off x="657" y="1774"/>
            <a:ext cx="820" cy="1254"/>
          </a:xfrm>
          <a:custGeom>
            <a:avLst/>
            <a:gdLst>
              <a:gd name="T0" fmla="*/ 0 w 2007"/>
              <a:gd name="T1" fmla="*/ 0 h 2836"/>
              <a:gd name="T2" fmla="*/ 0 w 2007"/>
              <a:gd name="T3" fmla="*/ 0 h 2836"/>
              <a:gd name="T4" fmla="*/ 0 w 2007"/>
              <a:gd name="T5" fmla="*/ 0 h 2836"/>
              <a:gd name="T6" fmla="*/ 0 w 2007"/>
              <a:gd name="T7" fmla="*/ 0 h 2836"/>
              <a:gd name="T8" fmla="*/ 0 w 2007"/>
              <a:gd name="T9" fmla="*/ 0 h 2836"/>
              <a:gd name="T10" fmla="*/ 0 w 2007"/>
              <a:gd name="T11" fmla="*/ 0 h 2836"/>
              <a:gd name="T12" fmla="*/ 0 w 2007"/>
              <a:gd name="T13" fmla="*/ 0 h 2836"/>
              <a:gd name="T14" fmla="*/ 0 w 2007"/>
              <a:gd name="T15" fmla="*/ 0 h 2836"/>
              <a:gd name="T16" fmla="*/ 0 w 2007"/>
              <a:gd name="T17" fmla="*/ 1 h 2836"/>
              <a:gd name="T18" fmla="*/ 0 w 2007"/>
              <a:gd name="T19" fmla="*/ 1 h 2836"/>
              <a:gd name="T20" fmla="*/ 0 w 2007"/>
              <a:gd name="T21" fmla="*/ 1 h 2836"/>
              <a:gd name="T22" fmla="*/ 0 w 2007"/>
              <a:gd name="T23" fmla="*/ 1 h 2836"/>
              <a:gd name="T24" fmla="*/ 0 w 2007"/>
              <a:gd name="T25" fmla="*/ 1 h 2836"/>
              <a:gd name="T26" fmla="*/ 0 w 2007"/>
              <a:gd name="T27" fmla="*/ 0 h 2836"/>
              <a:gd name="T28" fmla="*/ 0 w 2007"/>
              <a:gd name="T29" fmla="*/ 0 h 28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2007"/>
              <a:gd name="T46" fmla="*/ 0 h 2836"/>
              <a:gd name="T47" fmla="*/ 2007 w 2007"/>
              <a:gd name="T48" fmla="*/ 2836 h 2836"/>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2007" h="2836">
                <a:moveTo>
                  <a:pt x="88" y="0"/>
                </a:moveTo>
                <a:lnTo>
                  <a:pt x="1959" y="0"/>
                </a:lnTo>
                <a:lnTo>
                  <a:pt x="1977" y="1202"/>
                </a:lnTo>
                <a:lnTo>
                  <a:pt x="2007" y="1244"/>
                </a:lnTo>
                <a:lnTo>
                  <a:pt x="2004" y="1395"/>
                </a:lnTo>
                <a:lnTo>
                  <a:pt x="1969" y="1406"/>
                </a:lnTo>
                <a:lnTo>
                  <a:pt x="1969" y="1763"/>
                </a:lnTo>
                <a:lnTo>
                  <a:pt x="2007" y="1751"/>
                </a:lnTo>
                <a:lnTo>
                  <a:pt x="2007" y="2268"/>
                </a:lnTo>
                <a:lnTo>
                  <a:pt x="1947" y="2273"/>
                </a:lnTo>
                <a:lnTo>
                  <a:pt x="1891" y="2284"/>
                </a:lnTo>
                <a:lnTo>
                  <a:pt x="1896" y="2836"/>
                </a:lnTo>
                <a:lnTo>
                  <a:pt x="0" y="2829"/>
                </a:lnTo>
                <a:lnTo>
                  <a:pt x="91" y="0"/>
                </a:lnTo>
                <a:lnTo>
                  <a:pt x="88" y="0"/>
                </a:lnTo>
                <a:close/>
              </a:path>
            </a:pathLst>
          </a:custGeom>
          <a:noFill/>
          <a:ln w="6350">
            <a:solidFill>
              <a:srgbClr val="000000"/>
            </a:solidFill>
            <a:prstDash val="solid"/>
            <a:round/>
            <a:headEnd/>
            <a:tailEnd/>
          </a:ln>
        </xdr:spPr>
      </xdr:sp>
      <xdr:sp macro="" textlink="">
        <xdr:nvSpPr>
          <xdr:cNvPr id="12326" name="Line 17"/>
          <xdr:cNvSpPr>
            <a:spLocks noChangeShapeType="1"/>
          </xdr:cNvSpPr>
        </xdr:nvSpPr>
        <xdr:spPr bwMode="auto">
          <a:xfrm flipH="1">
            <a:off x="2956" y="1863"/>
            <a:ext cx="12" cy="1764"/>
          </a:xfrm>
          <a:prstGeom prst="line">
            <a:avLst/>
          </a:prstGeom>
          <a:noFill/>
          <a:ln w="0">
            <a:solidFill>
              <a:srgbClr val="000000"/>
            </a:solidFill>
            <a:round/>
            <a:headEnd/>
            <a:tailEnd/>
          </a:ln>
        </xdr:spPr>
      </xdr:sp>
      <xdr:sp macro="" textlink="">
        <xdr:nvSpPr>
          <xdr:cNvPr id="12327" name="Line 18"/>
          <xdr:cNvSpPr>
            <a:spLocks noChangeShapeType="1"/>
          </xdr:cNvSpPr>
        </xdr:nvSpPr>
        <xdr:spPr bwMode="auto">
          <a:xfrm>
            <a:off x="1423" y="3429"/>
            <a:ext cx="2094" cy="1"/>
          </a:xfrm>
          <a:prstGeom prst="line">
            <a:avLst/>
          </a:prstGeom>
          <a:noFill/>
          <a:ln w="0">
            <a:solidFill>
              <a:srgbClr val="000000"/>
            </a:solidFill>
            <a:round/>
            <a:headEnd/>
            <a:tailEnd/>
          </a:ln>
        </xdr:spPr>
      </xdr:sp>
      <xdr:sp macro="" textlink="">
        <xdr:nvSpPr>
          <xdr:cNvPr id="12328" name="Line 19"/>
          <xdr:cNvSpPr>
            <a:spLocks noChangeShapeType="1"/>
          </xdr:cNvSpPr>
        </xdr:nvSpPr>
        <xdr:spPr bwMode="auto">
          <a:xfrm>
            <a:off x="1446" y="2314"/>
            <a:ext cx="1494" cy="17"/>
          </a:xfrm>
          <a:prstGeom prst="line">
            <a:avLst/>
          </a:prstGeom>
          <a:noFill/>
          <a:ln w="3175">
            <a:solidFill>
              <a:srgbClr val="000000"/>
            </a:solidFill>
            <a:round/>
            <a:headEnd/>
            <a:tailEnd/>
          </a:ln>
        </xdr:spPr>
      </xdr:sp>
      <xdr:sp macro="" textlink="">
        <xdr:nvSpPr>
          <xdr:cNvPr id="12329" name="Line 20"/>
          <xdr:cNvSpPr>
            <a:spLocks noChangeShapeType="1"/>
          </xdr:cNvSpPr>
        </xdr:nvSpPr>
        <xdr:spPr bwMode="auto">
          <a:xfrm>
            <a:off x="1477" y="2549"/>
            <a:ext cx="1484" cy="5"/>
          </a:xfrm>
          <a:prstGeom prst="line">
            <a:avLst/>
          </a:prstGeom>
          <a:noFill/>
          <a:ln w="0">
            <a:solidFill>
              <a:srgbClr val="000000"/>
            </a:solidFill>
            <a:round/>
            <a:headEnd/>
            <a:tailEnd/>
          </a:ln>
        </xdr:spPr>
      </xdr:sp>
      <xdr:sp macro="" textlink="">
        <xdr:nvSpPr>
          <xdr:cNvPr id="12330" name="Line 21"/>
          <xdr:cNvSpPr>
            <a:spLocks noChangeShapeType="1"/>
          </xdr:cNvSpPr>
        </xdr:nvSpPr>
        <xdr:spPr bwMode="auto">
          <a:xfrm>
            <a:off x="1477" y="2777"/>
            <a:ext cx="674" cy="1"/>
          </a:xfrm>
          <a:prstGeom prst="line">
            <a:avLst/>
          </a:prstGeom>
          <a:noFill/>
          <a:ln w="0">
            <a:solidFill>
              <a:srgbClr val="000000"/>
            </a:solidFill>
            <a:round/>
            <a:headEnd/>
            <a:tailEnd/>
          </a:ln>
        </xdr:spPr>
      </xdr:sp>
      <xdr:sp macro="" textlink="">
        <xdr:nvSpPr>
          <xdr:cNvPr id="12331" name="Line 22"/>
          <xdr:cNvSpPr>
            <a:spLocks noChangeShapeType="1"/>
          </xdr:cNvSpPr>
        </xdr:nvSpPr>
        <xdr:spPr bwMode="auto">
          <a:xfrm>
            <a:off x="1432" y="3032"/>
            <a:ext cx="302" cy="2"/>
          </a:xfrm>
          <a:prstGeom prst="line">
            <a:avLst/>
          </a:prstGeom>
          <a:noFill/>
          <a:ln w="0">
            <a:solidFill>
              <a:srgbClr val="000000"/>
            </a:solidFill>
            <a:round/>
            <a:headEnd/>
            <a:tailEnd/>
          </a:ln>
        </xdr:spPr>
      </xdr:sp>
      <xdr:sp macro="" textlink="">
        <xdr:nvSpPr>
          <xdr:cNvPr id="12332" name="Line 23"/>
          <xdr:cNvSpPr>
            <a:spLocks noChangeShapeType="1"/>
          </xdr:cNvSpPr>
        </xdr:nvSpPr>
        <xdr:spPr bwMode="auto">
          <a:xfrm>
            <a:off x="1432" y="3214"/>
            <a:ext cx="939" cy="16"/>
          </a:xfrm>
          <a:prstGeom prst="line">
            <a:avLst/>
          </a:prstGeom>
          <a:noFill/>
          <a:ln w="0">
            <a:solidFill>
              <a:srgbClr val="000000"/>
            </a:solidFill>
            <a:round/>
            <a:headEnd/>
            <a:tailEnd/>
          </a:ln>
        </xdr:spPr>
      </xdr:sp>
      <xdr:sp macro="" textlink="">
        <xdr:nvSpPr>
          <xdr:cNvPr id="12333" name="Line 24"/>
          <xdr:cNvSpPr>
            <a:spLocks noChangeShapeType="1"/>
          </xdr:cNvSpPr>
        </xdr:nvSpPr>
        <xdr:spPr bwMode="auto">
          <a:xfrm>
            <a:off x="2748" y="3222"/>
            <a:ext cx="769" cy="2"/>
          </a:xfrm>
          <a:prstGeom prst="line">
            <a:avLst/>
          </a:prstGeom>
          <a:noFill/>
          <a:ln w="0">
            <a:solidFill>
              <a:srgbClr val="000000"/>
            </a:solidFill>
            <a:round/>
            <a:headEnd/>
            <a:tailEnd/>
          </a:ln>
        </xdr:spPr>
      </xdr:sp>
      <xdr:sp macro="" textlink="">
        <xdr:nvSpPr>
          <xdr:cNvPr id="12334" name="Line 25"/>
          <xdr:cNvSpPr>
            <a:spLocks noChangeShapeType="1"/>
          </xdr:cNvSpPr>
        </xdr:nvSpPr>
        <xdr:spPr bwMode="auto">
          <a:xfrm>
            <a:off x="3517" y="2589"/>
            <a:ext cx="0" cy="1045"/>
          </a:xfrm>
          <a:prstGeom prst="line">
            <a:avLst/>
          </a:prstGeom>
          <a:noFill/>
          <a:ln w="0">
            <a:solidFill>
              <a:srgbClr val="000000"/>
            </a:solidFill>
            <a:round/>
            <a:headEnd/>
            <a:tailEnd/>
          </a:ln>
        </xdr:spPr>
      </xdr:sp>
      <xdr:sp macro="" textlink="">
        <xdr:nvSpPr>
          <xdr:cNvPr id="12335" name="Freeform 26"/>
          <xdr:cNvSpPr>
            <a:spLocks/>
          </xdr:cNvSpPr>
        </xdr:nvSpPr>
        <xdr:spPr bwMode="auto">
          <a:xfrm>
            <a:off x="2148" y="1763"/>
            <a:ext cx="60" cy="1459"/>
          </a:xfrm>
          <a:custGeom>
            <a:avLst/>
            <a:gdLst>
              <a:gd name="T0" fmla="*/ 0 w 146"/>
              <a:gd name="T1" fmla="*/ 0 h 3303"/>
              <a:gd name="T2" fmla="*/ 0 w 146"/>
              <a:gd name="T3" fmla="*/ 0 h 3303"/>
              <a:gd name="T4" fmla="*/ 0 w 146"/>
              <a:gd name="T5" fmla="*/ 0 h 3303"/>
              <a:gd name="T6" fmla="*/ 0 w 146"/>
              <a:gd name="T7" fmla="*/ 1 h 3303"/>
              <a:gd name="T8" fmla="*/ 0 60000 65536"/>
              <a:gd name="T9" fmla="*/ 0 60000 65536"/>
              <a:gd name="T10" fmla="*/ 0 60000 65536"/>
              <a:gd name="T11" fmla="*/ 0 60000 65536"/>
              <a:gd name="T12" fmla="*/ 0 w 146"/>
              <a:gd name="T13" fmla="*/ 0 h 3303"/>
              <a:gd name="T14" fmla="*/ 146 w 146"/>
              <a:gd name="T15" fmla="*/ 3303 h 3303"/>
            </a:gdLst>
            <a:ahLst/>
            <a:cxnLst>
              <a:cxn ang="T8">
                <a:pos x="T0" y="T1"/>
              </a:cxn>
              <a:cxn ang="T9">
                <a:pos x="T2" y="T3"/>
              </a:cxn>
              <a:cxn ang="T10">
                <a:pos x="T4" y="T5"/>
              </a:cxn>
              <a:cxn ang="T11">
                <a:pos x="T6" y="T7"/>
              </a:cxn>
            </a:cxnLst>
            <a:rect l="T12" t="T13" r="T14" b="T15"/>
            <a:pathLst>
              <a:path w="146" h="3303">
                <a:moveTo>
                  <a:pt x="146" y="0"/>
                </a:moveTo>
                <a:lnTo>
                  <a:pt x="146" y="1258"/>
                </a:lnTo>
                <a:lnTo>
                  <a:pt x="24" y="1263"/>
                </a:lnTo>
                <a:lnTo>
                  <a:pt x="0" y="3303"/>
                </a:lnTo>
              </a:path>
            </a:pathLst>
          </a:custGeom>
          <a:noFill/>
          <a:ln w="9525">
            <a:solidFill>
              <a:srgbClr val="000000"/>
            </a:solidFill>
            <a:prstDash val="solid"/>
            <a:round/>
            <a:headEnd/>
            <a:tailEnd/>
          </a:ln>
        </xdr:spPr>
      </xdr:sp>
      <xdr:sp macro="" textlink="">
        <xdr:nvSpPr>
          <xdr:cNvPr id="12336" name="Line 27"/>
          <xdr:cNvSpPr>
            <a:spLocks noChangeShapeType="1"/>
          </xdr:cNvSpPr>
        </xdr:nvSpPr>
        <xdr:spPr bwMode="auto">
          <a:xfrm flipH="1">
            <a:off x="2548" y="1769"/>
            <a:ext cx="7" cy="1218"/>
          </a:xfrm>
          <a:prstGeom prst="line">
            <a:avLst/>
          </a:prstGeom>
          <a:noFill/>
          <a:ln w="9525">
            <a:solidFill>
              <a:srgbClr val="000000"/>
            </a:solidFill>
            <a:round/>
            <a:headEnd/>
            <a:tailEnd/>
          </a:ln>
        </xdr:spPr>
      </xdr:sp>
      <xdr:sp macro="" textlink="">
        <xdr:nvSpPr>
          <xdr:cNvPr id="12337" name="Line 28"/>
          <xdr:cNvSpPr>
            <a:spLocks noChangeShapeType="1"/>
          </xdr:cNvSpPr>
        </xdr:nvSpPr>
        <xdr:spPr bwMode="auto">
          <a:xfrm>
            <a:off x="2151" y="2984"/>
            <a:ext cx="810" cy="6"/>
          </a:xfrm>
          <a:prstGeom prst="line">
            <a:avLst/>
          </a:prstGeom>
          <a:noFill/>
          <a:ln w="0">
            <a:solidFill>
              <a:srgbClr val="000000"/>
            </a:solidFill>
            <a:round/>
            <a:headEnd/>
            <a:tailEnd/>
          </a:ln>
        </xdr:spPr>
      </xdr:sp>
      <xdr:sp macro="" textlink="">
        <xdr:nvSpPr>
          <xdr:cNvPr id="12338" name="Line 29"/>
          <xdr:cNvSpPr>
            <a:spLocks noChangeShapeType="1"/>
          </xdr:cNvSpPr>
        </xdr:nvSpPr>
        <xdr:spPr bwMode="auto">
          <a:xfrm flipH="1">
            <a:off x="2762" y="2314"/>
            <a:ext cx="7" cy="1303"/>
          </a:xfrm>
          <a:prstGeom prst="line">
            <a:avLst/>
          </a:prstGeom>
          <a:noFill/>
          <a:ln w="0">
            <a:solidFill>
              <a:srgbClr val="000000"/>
            </a:solidFill>
            <a:round/>
            <a:headEnd/>
            <a:tailEnd/>
          </a:ln>
        </xdr:spPr>
      </xdr:sp>
      <xdr:sp macro="" textlink="">
        <xdr:nvSpPr>
          <xdr:cNvPr id="12339" name="Line 30"/>
          <xdr:cNvSpPr>
            <a:spLocks noChangeShapeType="1"/>
          </xdr:cNvSpPr>
        </xdr:nvSpPr>
        <xdr:spPr bwMode="auto">
          <a:xfrm flipH="1">
            <a:off x="1730" y="2778"/>
            <a:ext cx="8" cy="442"/>
          </a:xfrm>
          <a:prstGeom prst="line">
            <a:avLst/>
          </a:prstGeom>
          <a:noFill/>
          <a:ln w="0">
            <a:solidFill>
              <a:srgbClr val="000000"/>
            </a:solidFill>
            <a:round/>
            <a:headEnd/>
            <a:tailEnd/>
          </a:ln>
        </xdr:spPr>
      </xdr:sp>
      <xdr:sp macro="" textlink="">
        <xdr:nvSpPr>
          <xdr:cNvPr id="12340" name="Line 31"/>
          <xdr:cNvSpPr>
            <a:spLocks noChangeShapeType="1"/>
          </xdr:cNvSpPr>
        </xdr:nvSpPr>
        <xdr:spPr bwMode="auto">
          <a:xfrm flipH="1">
            <a:off x="1680" y="2320"/>
            <a:ext cx="3" cy="456"/>
          </a:xfrm>
          <a:prstGeom prst="line">
            <a:avLst/>
          </a:prstGeom>
          <a:noFill/>
          <a:ln w="0">
            <a:solidFill>
              <a:srgbClr val="000000"/>
            </a:solidFill>
            <a:round/>
            <a:headEnd/>
            <a:tailEnd/>
          </a:ln>
        </xdr:spPr>
      </xdr:sp>
      <xdr:sp macro="" textlink="">
        <xdr:nvSpPr>
          <xdr:cNvPr id="12341" name="Freeform 32"/>
          <xdr:cNvSpPr>
            <a:spLocks/>
          </xdr:cNvSpPr>
        </xdr:nvSpPr>
        <xdr:spPr bwMode="auto">
          <a:xfrm>
            <a:off x="1944" y="2326"/>
            <a:ext cx="26" cy="450"/>
          </a:xfrm>
          <a:custGeom>
            <a:avLst/>
            <a:gdLst>
              <a:gd name="T0" fmla="*/ 0 w 62"/>
              <a:gd name="T1" fmla="*/ 0 h 1017"/>
              <a:gd name="T2" fmla="*/ 0 w 62"/>
              <a:gd name="T3" fmla="*/ 0 h 1017"/>
              <a:gd name="T4" fmla="*/ 0 w 62"/>
              <a:gd name="T5" fmla="*/ 0 h 1017"/>
              <a:gd name="T6" fmla="*/ 0 w 62"/>
              <a:gd name="T7" fmla="*/ 0 h 1017"/>
              <a:gd name="T8" fmla="*/ 0 60000 65536"/>
              <a:gd name="T9" fmla="*/ 0 60000 65536"/>
              <a:gd name="T10" fmla="*/ 0 60000 65536"/>
              <a:gd name="T11" fmla="*/ 0 60000 65536"/>
              <a:gd name="T12" fmla="*/ 0 w 62"/>
              <a:gd name="T13" fmla="*/ 0 h 1017"/>
              <a:gd name="T14" fmla="*/ 62 w 62"/>
              <a:gd name="T15" fmla="*/ 1017 h 1017"/>
            </a:gdLst>
            <a:ahLst/>
            <a:cxnLst>
              <a:cxn ang="T8">
                <a:pos x="T0" y="T1"/>
              </a:cxn>
              <a:cxn ang="T9">
                <a:pos x="T2" y="T3"/>
              </a:cxn>
              <a:cxn ang="T10">
                <a:pos x="T4" y="T5"/>
              </a:cxn>
              <a:cxn ang="T11">
                <a:pos x="T6" y="T7"/>
              </a:cxn>
            </a:cxnLst>
            <a:rect l="T12" t="T13" r="T14" b="T15"/>
            <a:pathLst>
              <a:path w="62" h="1017">
                <a:moveTo>
                  <a:pt x="0" y="0"/>
                </a:moveTo>
                <a:lnTo>
                  <a:pt x="0" y="501"/>
                </a:lnTo>
                <a:lnTo>
                  <a:pt x="62" y="503"/>
                </a:lnTo>
                <a:lnTo>
                  <a:pt x="62" y="1017"/>
                </a:lnTo>
              </a:path>
            </a:pathLst>
          </a:custGeom>
          <a:noFill/>
          <a:ln w="0">
            <a:solidFill>
              <a:srgbClr val="000000"/>
            </a:solidFill>
            <a:prstDash val="solid"/>
            <a:round/>
            <a:headEnd/>
            <a:tailEnd/>
          </a:ln>
        </xdr:spPr>
      </xdr:sp>
      <xdr:sp macro="" textlink="">
        <xdr:nvSpPr>
          <xdr:cNvPr id="12342" name="Line 33"/>
          <xdr:cNvSpPr>
            <a:spLocks noChangeShapeType="1"/>
          </xdr:cNvSpPr>
        </xdr:nvSpPr>
        <xdr:spPr bwMode="auto">
          <a:xfrm flipH="1">
            <a:off x="1705" y="3220"/>
            <a:ext cx="6" cy="416"/>
          </a:xfrm>
          <a:prstGeom prst="line">
            <a:avLst/>
          </a:prstGeom>
          <a:noFill/>
          <a:ln w="0">
            <a:solidFill>
              <a:srgbClr val="000000"/>
            </a:solidFill>
            <a:round/>
            <a:headEnd/>
            <a:tailEnd/>
          </a:ln>
        </xdr:spPr>
      </xdr:sp>
      <xdr:sp macro="" textlink="">
        <xdr:nvSpPr>
          <xdr:cNvPr id="12343" name="Freeform 34"/>
          <xdr:cNvSpPr>
            <a:spLocks/>
          </xdr:cNvSpPr>
        </xdr:nvSpPr>
        <xdr:spPr bwMode="auto">
          <a:xfrm>
            <a:off x="1930" y="3222"/>
            <a:ext cx="14" cy="414"/>
          </a:xfrm>
          <a:custGeom>
            <a:avLst/>
            <a:gdLst>
              <a:gd name="T0" fmla="*/ 0 w 37"/>
              <a:gd name="T1" fmla="*/ 0 h 937"/>
              <a:gd name="T2" fmla="*/ 0 w 37"/>
              <a:gd name="T3" fmla="*/ 0 h 937"/>
              <a:gd name="T4" fmla="*/ 0 w 37"/>
              <a:gd name="T5" fmla="*/ 0 h 937"/>
              <a:gd name="T6" fmla="*/ 0 w 37"/>
              <a:gd name="T7" fmla="*/ 0 h 937"/>
              <a:gd name="T8" fmla="*/ 0 60000 65536"/>
              <a:gd name="T9" fmla="*/ 0 60000 65536"/>
              <a:gd name="T10" fmla="*/ 0 60000 65536"/>
              <a:gd name="T11" fmla="*/ 0 60000 65536"/>
              <a:gd name="T12" fmla="*/ 0 w 37"/>
              <a:gd name="T13" fmla="*/ 0 h 937"/>
              <a:gd name="T14" fmla="*/ 37 w 37"/>
              <a:gd name="T15" fmla="*/ 937 h 937"/>
            </a:gdLst>
            <a:ahLst/>
            <a:cxnLst>
              <a:cxn ang="T8">
                <a:pos x="T0" y="T1"/>
              </a:cxn>
              <a:cxn ang="T9">
                <a:pos x="T2" y="T3"/>
              </a:cxn>
              <a:cxn ang="T10">
                <a:pos x="T4" y="T5"/>
              </a:cxn>
              <a:cxn ang="T11">
                <a:pos x="T6" y="T7"/>
              </a:cxn>
            </a:cxnLst>
            <a:rect l="T12" t="T13" r="T14" b="T15"/>
            <a:pathLst>
              <a:path w="37" h="937">
                <a:moveTo>
                  <a:pt x="0" y="0"/>
                </a:moveTo>
                <a:lnTo>
                  <a:pt x="0" y="470"/>
                </a:lnTo>
                <a:lnTo>
                  <a:pt x="36" y="470"/>
                </a:lnTo>
                <a:lnTo>
                  <a:pt x="37" y="937"/>
                </a:lnTo>
              </a:path>
            </a:pathLst>
          </a:custGeom>
          <a:noFill/>
          <a:ln w="0">
            <a:solidFill>
              <a:srgbClr val="000000"/>
            </a:solidFill>
            <a:prstDash val="solid"/>
            <a:round/>
            <a:headEnd/>
            <a:tailEnd/>
          </a:ln>
        </xdr:spPr>
      </xdr:sp>
      <xdr:sp macro="" textlink="">
        <xdr:nvSpPr>
          <xdr:cNvPr id="12344" name="Freeform 35"/>
          <xdr:cNvSpPr>
            <a:spLocks/>
          </xdr:cNvSpPr>
        </xdr:nvSpPr>
        <xdr:spPr bwMode="auto">
          <a:xfrm>
            <a:off x="918" y="1769"/>
            <a:ext cx="25" cy="1257"/>
          </a:xfrm>
          <a:custGeom>
            <a:avLst/>
            <a:gdLst>
              <a:gd name="T0" fmla="*/ 0 w 59"/>
              <a:gd name="T1" fmla="*/ 0 h 2848"/>
              <a:gd name="T2" fmla="*/ 0 w 59"/>
              <a:gd name="T3" fmla="*/ 0 h 2848"/>
              <a:gd name="T4" fmla="*/ 0 w 59"/>
              <a:gd name="T5" fmla="*/ 0 h 2848"/>
              <a:gd name="T6" fmla="*/ 0 w 59"/>
              <a:gd name="T7" fmla="*/ 0 h 2848"/>
              <a:gd name="T8" fmla="*/ 0 w 59"/>
              <a:gd name="T9" fmla="*/ 0 h 2848"/>
              <a:gd name="T10" fmla="*/ 0 w 59"/>
              <a:gd name="T11" fmla="*/ 0 h 2848"/>
              <a:gd name="T12" fmla="*/ 0 w 59"/>
              <a:gd name="T13" fmla="*/ 1 h 2848"/>
              <a:gd name="T14" fmla="*/ 0 w 59"/>
              <a:gd name="T15" fmla="*/ 1 h 2848"/>
              <a:gd name="T16" fmla="*/ 0 60000 65536"/>
              <a:gd name="T17" fmla="*/ 0 60000 65536"/>
              <a:gd name="T18" fmla="*/ 0 60000 65536"/>
              <a:gd name="T19" fmla="*/ 0 60000 65536"/>
              <a:gd name="T20" fmla="*/ 0 60000 65536"/>
              <a:gd name="T21" fmla="*/ 0 60000 65536"/>
              <a:gd name="T22" fmla="*/ 0 60000 65536"/>
              <a:gd name="T23" fmla="*/ 0 60000 65536"/>
              <a:gd name="T24" fmla="*/ 0 w 59"/>
              <a:gd name="T25" fmla="*/ 0 h 2848"/>
              <a:gd name="T26" fmla="*/ 59 w 59"/>
              <a:gd name="T27" fmla="*/ 2848 h 2848"/>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59" h="2848">
                <a:moveTo>
                  <a:pt x="0" y="0"/>
                </a:moveTo>
                <a:lnTo>
                  <a:pt x="4" y="809"/>
                </a:lnTo>
                <a:lnTo>
                  <a:pt x="34" y="809"/>
                </a:lnTo>
                <a:lnTo>
                  <a:pt x="55" y="809"/>
                </a:lnTo>
                <a:lnTo>
                  <a:pt x="59" y="1410"/>
                </a:lnTo>
                <a:lnTo>
                  <a:pt x="55" y="1871"/>
                </a:lnTo>
                <a:lnTo>
                  <a:pt x="55" y="2287"/>
                </a:lnTo>
                <a:lnTo>
                  <a:pt x="42" y="2848"/>
                </a:lnTo>
              </a:path>
            </a:pathLst>
          </a:custGeom>
          <a:noFill/>
          <a:ln w="0">
            <a:solidFill>
              <a:srgbClr val="000000"/>
            </a:solidFill>
            <a:prstDash val="solid"/>
            <a:round/>
            <a:headEnd/>
            <a:tailEnd/>
          </a:ln>
        </xdr:spPr>
      </xdr:sp>
      <xdr:sp macro="" textlink="">
        <xdr:nvSpPr>
          <xdr:cNvPr id="12345" name="Line 36"/>
          <xdr:cNvSpPr>
            <a:spLocks noChangeShapeType="1"/>
          </xdr:cNvSpPr>
        </xdr:nvSpPr>
        <xdr:spPr bwMode="auto">
          <a:xfrm>
            <a:off x="676" y="2381"/>
            <a:ext cx="786" cy="11"/>
          </a:xfrm>
          <a:prstGeom prst="line">
            <a:avLst/>
          </a:prstGeom>
          <a:noFill/>
          <a:ln w="0">
            <a:solidFill>
              <a:srgbClr val="000000"/>
            </a:solidFill>
            <a:round/>
            <a:headEnd/>
            <a:tailEnd/>
          </a:ln>
        </xdr:spPr>
      </xdr:sp>
      <xdr:sp macro="" textlink="">
        <xdr:nvSpPr>
          <xdr:cNvPr id="12346" name="Line 37"/>
          <xdr:cNvSpPr>
            <a:spLocks noChangeShapeType="1"/>
          </xdr:cNvSpPr>
        </xdr:nvSpPr>
        <xdr:spPr bwMode="auto">
          <a:xfrm>
            <a:off x="672" y="2589"/>
            <a:ext cx="268" cy="6"/>
          </a:xfrm>
          <a:prstGeom prst="line">
            <a:avLst/>
          </a:prstGeom>
          <a:noFill/>
          <a:ln w="0">
            <a:solidFill>
              <a:srgbClr val="000000"/>
            </a:solidFill>
            <a:round/>
            <a:headEnd/>
            <a:tailEnd/>
          </a:ln>
        </xdr:spPr>
      </xdr:sp>
      <xdr:sp macro="" textlink="">
        <xdr:nvSpPr>
          <xdr:cNvPr id="12347" name="Line 38"/>
          <xdr:cNvSpPr>
            <a:spLocks noChangeShapeType="1"/>
          </xdr:cNvSpPr>
        </xdr:nvSpPr>
        <xdr:spPr bwMode="auto">
          <a:xfrm>
            <a:off x="940" y="2745"/>
            <a:ext cx="305" cy="8"/>
          </a:xfrm>
          <a:prstGeom prst="line">
            <a:avLst/>
          </a:prstGeom>
          <a:noFill/>
          <a:ln w="0">
            <a:solidFill>
              <a:srgbClr val="000000"/>
            </a:solidFill>
            <a:round/>
            <a:headEnd/>
            <a:tailEnd/>
          </a:ln>
        </xdr:spPr>
      </xdr:sp>
      <xdr:sp macro="" textlink="">
        <xdr:nvSpPr>
          <xdr:cNvPr id="12348" name="Line 39"/>
          <xdr:cNvSpPr>
            <a:spLocks noChangeShapeType="1"/>
          </xdr:cNvSpPr>
        </xdr:nvSpPr>
        <xdr:spPr bwMode="auto">
          <a:xfrm flipH="1" flipV="1">
            <a:off x="940" y="2127"/>
            <a:ext cx="259" cy="6"/>
          </a:xfrm>
          <a:prstGeom prst="line">
            <a:avLst/>
          </a:prstGeom>
          <a:noFill/>
          <a:ln w="0">
            <a:solidFill>
              <a:srgbClr val="000000"/>
            </a:solidFill>
            <a:round/>
            <a:headEnd/>
            <a:tailEnd/>
          </a:ln>
        </xdr:spPr>
      </xdr:sp>
      <xdr:sp macro="" textlink="">
        <xdr:nvSpPr>
          <xdr:cNvPr id="12349" name="Line 40"/>
          <xdr:cNvSpPr>
            <a:spLocks noChangeShapeType="1"/>
          </xdr:cNvSpPr>
        </xdr:nvSpPr>
        <xdr:spPr bwMode="auto">
          <a:xfrm>
            <a:off x="1246" y="2891"/>
            <a:ext cx="186" cy="1"/>
          </a:xfrm>
          <a:prstGeom prst="line">
            <a:avLst/>
          </a:prstGeom>
          <a:noFill/>
          <a:ln w="0">
            <a:solidFill>
              <a:srgbClr val="000000"/>
            </a:solidFill>
            <a:round/>
            <a:headEnd/>
            <a:tailEnd/>
          </a:ln>
        </xdr:spPr>
      </xdr:sp>
      <xdr:sp macro="" textlink="">
        <xdr:nvSpPr>
          <xdr:cNvPr id="12350" name="Line 41"/>
          <xdr:cNvSpPr>
            <a:spLocks noChangeShapeType="1"/>
          </xdr:cNvSpPr>
        </xdr:nvSpPr>
        <xdr:spPr bwMode="auto">
          <a:xfrm flipV="1">
            <a:off x="2147" y="3433"/>
            <a:ext cx="2" cy="200"/>
          </a:xfrm>
          <a:prstGeom prst="line">
            <a:avLst/>
          </a:prstGeom>
          <a:noFill/>
          <a:ln w="0">
            <a:solidFill>
              <a:srgbClr val="000000"/>
            </a:solidFill>
            <a:round/>
            <a:headEnd/>
            <a:tailEnd/>
          </a:ln>
        </xdr:spPr>
      </xdr:sp>
      <xdr:sp macro="" textlink="">
        <xdr:nvSpPr>
          <xdr:cNvPr id="12351" name="Line 42"/>
          <xdr:cNvSpPr>
            <a:spLocks noChangeShapeType="1"/>
          </xdr:cNvSpPr>
        </xdr:nvSpPr>
        <xdr:spPr bwMode="auto">
          <a:xfrm flipV="1">
            <a:off x="3141" y="3013"/>
            <a:ext cx="587" cy="4"/>
          </a:xfrm>
          <a:prstGeom prst="line">
            <a:avLst/>
          </a:prstGeom>
          <a:noFill/>
          <a:ln w="9525">
            <a:solidFill>
              <a:srgbClr val="000000"/>
            </a:solidFill>
            <a:round/>
            <a:headEnd/>
            <a:tailEnd/>
          </a:ln>
        </xdr:spPr>
      </xdr:sp>
      <xdr:sp macro="" textlink="">
        <xdr:nvSpPr>
          <xdr:cNvPr id="12352" name="Line 43"/>
          <xdr:cNvSpPr>
            <a:spLocks noChangeShapeType="1"/>
          </xdr:cNvSpPr>
        </xdr:nvSpPr>
        <xdr:spPr bwMode="auto">
          <a:xfrm flipH="1">
            <a:off x="3318" y="2799"/>
            <a:ext cx="2" cy="835"/>
          </a:xfrm>
          <a:prstGeom prst="line">
            <a:avLst/>
          </a:prstGeom>
          <a:noFill/>
          <a:ln w="0">
            <a:solidFill>
              <a:srgbClr val="000000"/>
            </a:solidFill>
            <a:round/>
            <a:headEnd/>
            <a:tailEnd/>
          </a:ln>
        </xdr:spPr>
      </xdr:sp>
      <xdr:sp macro="" textlink="">
        <xdr:nvSpPr>
          <xdr:cNvPr id="12353" name="Line 44"/>
          <xdr:cNvSpPr>
            <a:spLocks noChangeShapeType="1"/>
          </xdr:cNvSpPr>
        </xdr:nvSpPr>
        <xdr:spPr bwMode="auto">
          <a:xfrm>
            <a:off x="3514" y="3354"/>
            <a:ext cx="525" cy="1"/>
          </a:xfrm>
          <a:prstGeom prst="line">
            <a:avLst/>
          </a:prstGeom>
          <a:noFill/>
          <a:ln w="0">
            <a:solidFill>
              <a:srgbClr val="000000"/>
            </a:solidFill>
            <a:round/>
            <a:headEnd/>
            <a:tailEnd/>
          </a:ln>
        </xdr:spPr>
      </xdr:sp>
      <xdr:sp macro="" textlink="">
        <xdr:nvSpPr>
          <xdr:cNvPr id="12354" name="Line 45"/>
          <xdr:cNvSpPr>
            <a:spLocks noChangeShapeType="1"/>
          </xdr:cNvSpPr>
        </xdr:nvSpPr>
        <xdr:spPr bwMode="auto">
          <a:xfrm>
            <a:off x="3727" y="3003"/>
            <a:ext cx="1" cy="621"/>
          </a:xfrm>
          <a:prstGeom prst="line">
            <a:avLst/>
          </a:prstGeom>
          <a:noFill/>
          <a:ln w="0">
            <a:solidFill>
              <a:srgbClr val="000000"/>
            </a:solidFill>
            <a:round/>
            <a:headEnd/>
            <a:tailEnd/>
          </a:ln>
        </xdr:spPr>
      </xdr:sp>
      <xdr:sp macro="" textlink="">
        <xdr:nvSpPr>
          <xdr:cNvPr id="12355" name="Line 46"/>
          <xdr:cNvSpPr>
            <a:spLocks noChangeShapeType="1"/>
          </xdr:cNvSpPr>
        </xdr:nvSpPr>
        <xdr:spPr bwMode="auto">
          <a:xfrm>
            <a:off x="3728" y="3509"/>
            <a:ext cx="392" cy="1"/>
          </a:xfrm>
          <a:prstGeom prst="line">
            <a:avLst/>
          </a:prstGeom>
          <a:noFill/>
          <a:ln w="0">
            <a:solidFill>
              <a:srgbClr val="000000"/>
            </a:solidFill>
            <a:round/>
            <a:headEnd/>
            <a:tailEnd/>
          </a:ln>
        </xdr:spPr>
      </xdr:sp>
      <xdr:sp macro="" textlink="">
        <xdr:nvSpPr>
          <xdr:cNvPr id="12356" name="Line 47"/>
          <xdr:cNvSpPr>
            <a:spLocks noChangeShapeType="1"/>
          </xdr:cNvSpPr>
        </xdr:nvSpPr>
        <xdr:spPr bwMode="auto">
          <a:xfrm>
            <a:off x="3930" y="3509"/>
            <a:ext cx="2" cy="125"/>
          </a:xfrm>
          <a:prstGeom prst="line">
            <a:avLst/>
          </a:prstGeom>
          <a:noFill/>
          <a:ln w="0">
            <a:solidFill>
              <a:srgbClr val="000000"/>
            </a:solidFill>
            <a:round/>
            <a:headEnd/>
            <a:tailEnd/>
          </a:ln>
        </xdr:spPr>
      </xdr:sp>
      <xdr:sp macro="" textlink="">
        <xdr:nvSpPr>
          <xdr:cNvPr id="12357" name="Line 48"/>
          <xdr:cNvSpPr>
            <a:spLocks noChangeShapeType="1"/>
          </xdr:cNvSpPr>
        </xdr:nvSpPr>
        <xdr:spPr bwMode="auto">
          <a:xfrm>
            <a:off x="3728" y="3163"/>
            <a:ext cx="216" cy="2"/>
          </a:xfrm>
          <a:prstGeom prst="line">
            <a:avLst/>
          </a:prstGeom>
          <a:noFill/>
          <a:ln w="0">
            <a:solidFill>
              <a:srgbClr val="000000"/>
            </a:solidFill>
            <a:round/>
            <a:headEnd/>
            <a:tailEnd/>
          </a:ln>
        </xdr:spPr>
      </xdr:sp>
      <xdr:sp macro="" textlink="">
        <xdr:nvSpPr>
          <xdr:cNvPr id="12358" name="Line 49"/>
          <xdr:cNvSpPr>
            <a:spLocks noChangeShapeType="1"/>
          </xdr:cNvSpPr>
        </xdr:nvSpPr>
        <xdr:spPr bwMode="auto">
          <a:xfrm>
            <a:off x="2552" y="2780"/>
            <a:ext cx="408" cy="1"/>
          </a:xfrm>
          <a:prstGeom prst="line">
            <a:avLst/>
          </a:prstGeom>
          <a:noFill/>
          <a:ln w="0">
            <a:solidFill>
              <a:srgbClr val="000000"/>
            </a:solidFill>
            <a:round/>
            <a:headEnd/>
            <a:tailEnd/>
          </a:ln>
        </xdr:spPr>
      </xdr:sp>
      <xdr:sp macro="" textlink="">
        <xdr:nvSpPr>
          <xdr:cNvPr id="12359" name="Line 50"/>
          <xdr:cNvSpPr>
            <a:spLocks noChangeShapeType="1"/>
          </xdr:cNvSpPr>
        </xdr:nvSpPr>
        <xdr:spPr bwMode="auto">
          <a:xfrm>
            <a:off x="2965" y="2111"/>
            <a:ext cx="361" cy="6"/>
          </a:xfrm>
          <a:prstGeom prst="line">
            <a:avLst/>
          </a:prstGeom>
          <a:noFill/>
          <a:ln w="0">
            <a:solidFill>
              <a:srgbClr val="000000"/>
            </a:solidFill>
            <a:round/>
            <a:headEnd/>
            <a:tailEnd/>
          </a:ln>
        </xdr:spPr>
      </xdr:sp>
      <xdr:sp macro="" textlink="">
        <xdr:nvSpPr>
          <xdr:cNvPr id="12360" name="Line 51"/>
          <xdr:cNvSpPr>
            <a:spLocks noChangeShapeType="1"/>
          </xdr:cNvSpPr>
        </xdr:nvSpPr>
        <xdr:spPr bwMode="auto">
          <a:xfrm>
            <a:off x="3147" y="2118"/>
            <a:ext cx="2" cy="574"/>
          </a:xfrm>
          <a:prstGeom prst="line">
            <a:avLst/>
          </a:prstGeom>
          <a:noFill/>
          <a:ln w="0">
            <a:solidFill>
              <a:srgbClr val="000000"/>
            </a:solidFill>
            <a:round/>
            <a:headEnd/>
            <a:tailEnd/>
          </a:ln>
        </xdr:spPr>
      </xdr:sp>
      <xdr:sp macro="" textlink="">
        <xdr:nvSpPr>
          <xdr:cNvPr id="12361" name="Line 52"/>
          <xdr:cNvSpPr>
            <a:spLocks noChangeShapeType="1"/>
          </xdr:cNvSpPr>
        </xdr:nvSpPr>
        <xdr:spPr bwMode="auto">
          <a:xfrm>
            <a:off x="3326" y="2117"/>
            <a:ext cx="5" cy="472"/>
          </a:xfrm>
          <a:prstGeom prst="line">
            <a:avLst/>
          </a:prstGeom>
          <a:noFill/>
          <a:ln w="0">
            <a:solidFill>
              <a:srgbClr val="000000"/>
            </a:solidFill>
            <a:round/>
            <a:headEnd/>
            <a:tailEnd/>
          </a:ln>
        </xdr:spPr>
      </xdr:sp>
      <xdr:sp macro="" textlink="">
        <xdr:nvSpPr>
          <xdr:cNvPr id="12362" name="Line 53"/>
          <xdr:cNvSpPr>
            <a:spLocks noChangeShapeType="1"/>
          </xdr:cNvSpPr>
        </xdr:nvSpPr>
        <xdr:spPr bwMode="auto">
          <a:xfrm flipV="1">
            <a:off x="3147" y="2390"/>
            <a:ext cx="527" cy="8"/>
          </a:xfrm>
          <a:prstGeom prst="line">
            <a:avLst/>
          </a:prstGeom>
          <a:noFill/>
          <a:ln w="0">
            <a:solidFill>
              <a:srgbClr val="000000"/>
            </a:solidFill>
            <a:round/>
            <a:headEnd/>
            <a:tailEnd/>
          </a:ln>
        </xdr:spPr>
      </xdr:sp>
      <xdr:sp macro="" textlink="">
        <xdr:nvSpPr>
          <xdr:cNvPr id="12363" name="Line 54"/>
          <xdr:cNvSpPr>
            <a:spLocks noChangeShapeType="1"/>
          </xdr:cNvSpPr>
        </xdr:nvSpPr>
        <xdr:spPr bwMode="auto">
          <a:xfrm>
            <a:off x="3484" y="1948"/>
            <a:ext cx="4" cy="296"/>
          </a:xfrm>
          <a:prstGeom prst="line">
            <a:avLst/>
          </a:prstGeom>
          <a:noFill/>
          <a:ln w="0">
            <a:solidFill>
              <a:srgbClr val="000000"/>
            </a:solidFill>
            <a:round/>
            <a:headEnd/>
            <a:tailEnd/>
          </a:ln>
        </xdr:spPr>
      </xdr:sp>
      <xdr:sp macro="" textlink="">
        <xdr:nvSpPr>
          <xdr:cNvPr id="12364" name="Line 55"/>
          <xdr:cNvSpPr>
            <a:spLocks noChangeShapeType="1"/>
          </xdr:cNvSpPr>
        </xdr:nvSpPr>
        <xdr:spPr bwMode="auto">
          <a:xfrm>
            <a:off x="3326" y="2192"/>
            <a:ext cx="162" cy="1"/>
          </a:xfrm>
          <a:prstGeom prst="line">
            <a:avLst/>
          </a:prstGeom>
          <a:noFill/>
          <a:ln w="0">
            <a:solidFill>
              <a:srgbClr val="000000"/>
            </a:solidFill>
            <a:round/>
            <a:headEnd/>
            <a:tailEnd/>
          </a:ln>
        </xdr:spPr>
      </xdr:sp>
      <xdr:sp macro="" textlink="">
        <xdr:nvSpPr>
          <xdr:cNvPr id="12365" name="Freeform 56"/>
          <xdr:cNvSpPr>
            <a:spLocks/>
          </xdr:cNvSpPr>
        </xdr:nvSpPr>
        <xdr:spPr bwMode="auto">
          <a:xfrm>
            <a:off x="3600" y="2079"/>
            <a:ext cx="36" cy="161"/>
          </a:xfrm>
          <a:custGeom>
            <a:avLst/>
            <a:gdLst>
              <a:gd name="T0" fmla="*/ 0 w 88"/>
              <a:gd name="T1" fmla="*/ 0 h 366"/>
              <a:gd name="T2" fmla="*/ 0 w 88"/>
              <a:gd name="T3" fmla="*/ 0 h 366"/>
              <a:gd name="T4" fmla="*/ 0 w 88"/>
              <a:gd name="T5" fmla="*/ 0 h 366"/>
              <a:gd name="T6" fmla="*/ 0 w 88"/>
              <a:gd name="T7" fmla="*/ 0 h 366"/>
              <a:gd name="T8" fmla="*/ 0 w 88"/>
              <a:gd name="T9" fmla="*/ 0 h 366"/>
              <a:gd name="T10" fmla="*/ 0 w 88"/>
              <a:gd name="T11" fmla="*/ 0 h 366"/>
              <a:gd name="T12" fmla="*/ 0 60000 65536"/>
              <a:gd name="T13" fmla="*/ 0 60000 65536"/>
              <a:gd name="T14" fmla="*/ 0 60000 65536"/>
              <a:gd name="T15" fmla="*/ 0 60000 65536"/>
              <a:gd name="T16" fmla="*/ 0 60000 65536"/>
              <a:gd name="T17" fmla="*/ 0 60000 65536"/>
              <a:gd name="T18" fmla="*/ 0 w 88"/>
              <a:gd name="T19" fmla="*/ 0 h 366"/>
              <a:gd name="T20" fmla="*/ 88 w 88"/>
              <a:gd name="T21" fmla="*/ 366 h 366"/>
            </a:gdLst>
            <a:ahLst/>
            <a:cxnLst>
              <a:cxn ang="T12">
                <a:pos x="T0" y="T1"/>
              </a:cxn>
              <a:cxn ang="T13">
                <a:pos x="T2" y="T3"/>
              </a:cxn>
              <a:cxn ang="T14">
                <a:pos x="T4" y="T5"/>
              </a:cxn>
              <a:cxn ang="T15">
                <a:pos x="T6" y="T7"/>
              </a:cxn>
              <a:cxn ang="T16">
                <a:pos x="T8" y="T9"/>
              </a:cxn>
              <a:cxn ang="T17">
                <a:pos x="T10" y="T11"/>
              </a:cxn>
            </a:cxnLst>
            <a:rect l="T18" t="T19" r="T20" b="T21"/>
            <a:pathLst>
              <a:path w="88" h="366">
                <a:moveTo>
                  <a:pt x="88" y="0"/>
                </a:moveTo>
                <a:lnTo>
                  <a:pt x="58" y="19"/>
                </a:lnTo>
                <a:lnTo>
                  <a:pt x="52" y="38"/>
                </a:lnTo>
                <a:lnTo>
                  <a:pt x="24" y="68"/>
                </a:lnTo>
                <a:lnTo>
                  <a:pt x="0" y="123"/>
                </a:lnTo>
                <a:lnTo>
                  <a:pt x="0" y="366"/>
                </a:lnTo>
              </a:path>
            </a:pathLst>
          </a:custGeom>
          <a:noFill/>
          <a:ln w="0">
            <a:solidFill>
              <a:srgbClr val="000000"/>
            </a:solidFill>
            <a:prstDash val="solid"/>
            <a:round/>
            <a:headEnd/>
            <a:tailEnd/>
          </a:ln>
        </xdr:spPr>
      </xdr:sp>
      <xdr:sp macro="" textlink="">
        <xdr:nvSpPr>
          <xdr:cNvPr id="12366" name="Freeform 57"/>
          <xdr:cNvSpPr>
            <a:spLocks/>
          </xdr:cNvSpPr>
        </xdr:nvSpPr>
        <xdr:spPr bwMode="auto">
          <a:xfrm>
            <a:off x="3595" y="2261"/>
            <a:ext cx="182" cy="7"/>
          </a:xfrm>
          <a:custGeom>
            <a:avLst/>
            <a:gdLst>
              <a:gd name="T0" fmla="*/ 0 w 446"/>
              <a:gd name="T1" fmla="*/ 0 h 17"/>
              <a:gd name="T2" fmla="*/ 0 w 446"/>
              <a:gd name="T3" fmla="*/ 0 h 17"/>
              <a:gd name="T4" fmla="*/ 0 w 446"/>
              <a:gd name="T5" fmla="*/ 0 h 17"/>
              <a:gd name="T6" fmla="*/ 0 60000 65536"/>
              <a:gd name="T7" fmla="*/ 0 60000 65536"/>
              <a:gd name="T8" fmla="*/ 0 60000 65536"/>
              <a:gd name="T9" fmla="*/ 0 w 446"/>
              <a:gd name="T10" fmla="*/ 0 h 17"/>
              <a:gd name="T11" fmla="*/ 446 w 446"/>
              <a:gd name="T12" fmla="*/ 17 h 17"/>
            </a:gdLst>
            <a:ahLst/>
            <a:cxnLst>
              <a:cxn ang="T6">
                <a:pos x="T0" y="T1"/>
              </a:cxn>
              <a:cxn ang="T7">
                <a:pos x="T2" y="T3"/>
              </a:cxn>
              <a:cxn ang="T8">
                <a:pos x="T4" y="T5"/>
              </a:cxn>
            </a:cxnLst>
            <a:rect l="T9" t="T10" r="T11" b="T12"/>
            <a:pathLst>
              <a:path w="446" h="17">
                <a:moveTo>
                  <a:pt x="0" y="17"/>
                </a:moveTo>
                <a:lnTo>
                  <a:pt x="0" y="0"/>
                </a:lnTo>
                <a:lnTo>
                  <a:pt x="446" y="0"/>
                </a:lnTo>
              </a:path>
            </a:pathLst>
          </a:custGeom>
          <a:noFill/>
          <a:ln w="0">
            <a:solidFill>
              <a:srgbClr val="000000"/>
            </a:solidFill>
            <a:prstDash val="solid"/>
            <a:round/>
            <a:headEnd/>
            <a:tailEnd/>
          </a:ln>
        </xdr:spPr>
      </xdr:sp>
      <xdr:sp macro="" textlink="">
        <xdr:nvSpPr>
          <xdr:cNvPr id="12367" name="Line 58"/>
          <xdr:cNvSpPr>
            <a:spLocks noChangeShapeType="1"/>
          </xdr:cNvSpPr>
        </xdr:nvSpPr>
        <xdr:spPr bwMode="auto">
          <a:xfrm>
            <a:off x="3488" y="2244"/>
            <a:ext cx="110" cy="1"/>
          </a:xfrm>
          <a:prstGeom prst="line">
            <a:avLst/>
          </a:prstGeom>
          <a:noFill/>
          <a:ln w="0">
            <a:solidFill>
              <a:srgbClr val="000000"/>
            </a:solidFill>
            <a:round/>
            <a:headEnd/>
            <a:tailEnd/>
          </a:ln>
        </xdr:spPr>
      </xdr:sp>
      <xdr:sp macro="" textlink="">
        <xdr:nvSpPr>
          <xdr:cNvPr id="12368" name="Line 59"/>
          <xdr:cNvSpPr>
            <a:spLocks noChangeShapeType="1"/>
          </xdr:cNvSpPr>
        </xdr:nvSpPr>
        <xdr:spPr bwMode="auto">
          <a:xfrm>
            <a:off x="3598" y="2244"/>
            <a:ext cx="1" cy="146"/>
          </a:xfrm>
          <a:prstGeom prst="line">
            <a:avLst/>
          </a:prstGeom>
          <a:noFill/>
          <a:ln w="0">
            <a:solidFill>
              <a:srgbClr val="000000"/>
            </a:solidFill>
            <a:round/>
            <a:headEnd/>
            <a:tailEnd/>
          </a:ln>
        </xdr:spPr>
      </xdr:sp>
      <xdr:sp macro="" textlink="">
        <xdr:nvSpPr>
          <xdr:cNvPr id="12369" name="Line 60"/>
          <xdr:cNvSpPr>
            <a:spLocks noChangeShapeType="1"/>
          </xdr:cNvSpPr>
        </xdr:nvSpPr>
        <xdr:spPr bwMode="auto">
          <a:xfrm>
            <a:off x="3488" y="2390"/>
            <a:ext cx="1" cy="199"/>
          </a:xfrm>
          <a:prstGeom prst="line">
            <a:avLst/>
          </a:prstGeom>
          <a:noFill/>
          <a:ln w="0">
            <a:solidFill>
              <a:srgbClr val="000000"/>
            </a:solidFill>
            <a:round/>
            <a:headEnd/>
            <a:tailEnd/>
          </a:ln>
        </xdr:spPr>
      </xdr:sp>
      <xdr:sp macro="" textlink="">
        <xdr:nvSpPr>
          <xdr:cNvPr id="12370" name="Line 61"/>
          <xdr:cNvSpPr>
            <a:spLocks noChangeShapeType="1"/>
          </xdr:cNvSpPr>
        </xdr:nvSpPr>
        <xdr:spPr bwMode="auto">
          <a:xfrm>
            <a:off x="2968" y="2460"/>
            <a:ext cx="181" cy="1"/>
          </a:xfrm>
          <a:prstGeom prst="line">
            <a:avLst/>
          </a:prstGeom>
          <a:noFill/>
          <a:ln w="0">
            <a:solidFill>
              <a:srgbClr val="000000"/>
            </a:solidFill>
            <a:round/>
            <a:headEnd/>
            <a:tailEnd/>
          </a:ln>
        </xdr:spPr>
      </xdr:sp>
      <xdr:sp macro="" textlink="">
        <xdr:nvSpPr>
          <xdr:cNvPr id="12371" name="Line 62"/>
          <xdr:cNvSpPr>
            <a:spLocks noChangeShapeType="1"/>
          </xdr:cNvSpPr>
        </xdr:nvSpPr>
        <xdr:spPr bwMode="auto">
          <a:xfrm>
            <a:off x="3147" y="2589"/>
            <a:ext cx="562" cy="1"/>
          </a:xfrm>
          <a:prstGeom prst="line">
            <a:avLst/>
          </a:prstGeom>
          <a:noFill/>
          <a:ln w="0">
            <a:solidFill>
              <a:srgbClr val="000000"/>
            </a:solidFill>
            <a:round/>
            <a:headEnd/>
            <a:tailEnd/>
          </a:ln>
        </xdr:spPr>
      </xdr:sp>
      <xdr:sp macro="" textlink="">
        <xdr:nvSpPr>
          <xdr:cNvPr id="12372" name="Line 63"/>
          <xdr:cNvSpPr>
            <a:spLocks noChangeShapeType="1"/>
          </xdr:cNvSpPr>
        </xdr:nvSpPr>
        <xdr:spPr bwMode="auto">
          <a:xfrm>
            <a:off x="3674" y="2390"/>
            <a:ext cx="1" cy="199"/>
          </a:xfrm>
          <a:prstGeom prst="line">
            <a:avLst/>
          </a:prstGeom>
          <a:noFill/>
          <a:ln w="0">
            <a:solidFill>
              <a:srgbClr val="000000"/>
            </a:solidFill>
            <a:round/>
            <a:headEnd/>
            <a:tailEnd/>
          </a:ln>
        </xdr:spPr>
      </xdr:sp>
      <xdr:sp macro="" textlink="">
        <xdr:nvSpPr>
          <xdr:cNvPr id="12373" name="Line 64"/>
          <xdr:cNvSpPr>
            <a:spLocks noChangeShapeType="1"/>
          </xdr:cNvSpPr>
        </xdr:nvSpPr>
        <xdr:spPr bwMode="auto">
          <a:xfrm>
            <a:off x="3369" y="2589"/>
            <a:ext cx="1" cy="221"/>
          </a:xfrm>
          <a:prstGeom prst="line">
            <a:avLst/>
          </a:prstGeom>
          <a:noFill/>
          <a:ln w="0">
            <a:solidFill>
              <a:srgbClr val="000000"/>
            </a:solidFill>
            <a:round/>
            <a:headEnd/>
            <a:tailEnd/>
          </a:ln>
        </xdr:spPr>
      </xdr:sp>
      <xdr:sp macro="" textlink="">
        <xdr:nvSpPr>
          <xdr:cNvPr id="12374" name="Freeform 65"/>
          <xdr:cNvSpPr>
            <a:spLocks/>
          </xdr:cNvSpPr>
        </xdr:nvSpPr>
        <xdr:spPr bwMode="auto">
          <a:xfrm>
            <a:off x="3674" y="2383"/>
            <a:ext cx="113" cy="23"/>
          </a:xfrm>
          <a:custGeom>
            <a:avLst/>
            <a:gdLst>
              <a:gd name="T0" fmla="*/ 0 w 277"/>
              <a:gd name="T1" fmla="*/ 0 h 50"/>
              <a:gd name="T2" fmla="*/ 0 w 277"/>
              <a:gd name="T3" fmla="*/ 0 h 50"/>
              <a:gd name="T4" fmla="*/ 0 w 277"/>
              <a:gd name="T5" fmla="*/ 0 h 50"/>
              <a:gd name="T6" fmla="*/ 0 w 277"/>
              <a:gd name="T7" fmla="*/ 0 h 50"/>
              <a:gd name="T8" fmla="*/ 0 60000 65536"/>
              <a:gd name="T9" fmla="*/ 0 60000 65536"/>
              <a:gd name="T10" fmla="*/ 0 60000 65536"/>
              <a:gd name="T11" fmla="*/ 0 60000 65536"/>
              <a:gd name="T12" fmla="*/ 0 w 277"/>
              <a:gd name="T13" fmla="*/ 0 h 50"/>
              <a:gd name="T14" fmla="*/ 277 w 277"/>
              <a:gd name="T15" fmla="*/ 50 h 50"/>
            </a:gdLst>
            <a:ahLst/>
            <a:cxnLst>
              <a:cxn ang="T8">
                <a:pos x="T0" y="T1"/>
              </a:cxn>
              <a:cxn ang="T9">
                <a:pos x="T2" y="T3"/>
              </a:cxn>
              <a:cxn ang="T10">
                <a:pos x="T4" y="T5"/>
              </a:cxn>
              <a:cxn ang="T11">
                <a:pos x="T6" y="T7"/>
              </a:cxn>
            </a:cxnLst>
            <a:rect l="T12" t="T13" r="T14" b="T15"/>
            <a:pathLst>
              <a:path w="277" h="50">
                <a:moveTo>
                  <a:pt x="0" y="50"/>
                </a:moveTo>
                <a:lnTo>
                  <a:pt x="217" y="47"/>
                </a:lnTo>
                <a:lnTo>
                  <a:pt x="217" y="0"/>
                </a:lnTo>
                <a:lnTo>
                  <a:pt x="277" y="8"/>
                </a:lnTo>
              </a:path>
            </a:pathLst>
          </a:custGeom>
          <a:noFill/>
          <a:ln w="0">
            <a:solidFill>
              <a:srgbClr val="000000"/>
            </a:solidFill>
            <a:prstDash val="solid"/>
            <a:round/>
            <a:headEnd/>
            <a:tailEnd/>
          </a:ln>
        </xdr:spPr>
      </xdr:sp>
      <xdr:sp macro="" textlink="">
        <xdr:nvSpPr>
          <xdr:cNvPr id="12375" name="Line 66"/>
          <xdr:cNvSpPr>
            <a:spLocks noChangeShapeType="1"/>
          </xdr:cNvSpPr>
        </xdr:nvSpPr>
        <xdr:spPr bwMode="auto">
          <a:xfrm flipH="1">
            <a:off x="3710" y="2626"/>
            <a:ext cx="148" cy="1"/>
          </a:xfrm>
          <a:prstGeom prst="line">
            <a:avLst/>
          </a:prstGeom>
          <a:noFill/>
          <a:ln w="0">
            <a:solidFill>
              <a:srgbClr val="000000"/>
            </a:solidFill>
            <a:round/>
            <a:headEnd/>
            <a:tailEnd/>
          </a:ln>
        </xdr:spPr>
      </xdr:sp>
      <xdr:sp macro="" textlink="">
        <xdr:nvSpPr>
          <xdr:cNvPr id="12376" name="Line 67"/>
          <xdr:cNvSpPr>
            <a:spLocks noChangeShapeType="1"/>
          </xdr:cNvSpPr>
        </xdr:nvSpPr>
        <xdr:spPr bwMode="auto">
          <a:xfrm>
            <a:off x="3709" y="2589"/>
            <a:ext cx="1" cy="134"/>
          </a:xfrm>
          <a:prstGeom prst="line">
            <a:avLst/>
          </a:prstGeom>
          <a:noFill/>
          <a:ln w="0">
            <a:solidFill>
              <a:srgbClr val="000000"/>
            </a:solidFill>
            <a:round/>
            <a:headEnd/>
            <a:tailEnd/>
          </a:ln>
        </xdr:spPr>
      </xdr:sp>
      <xdr:sp macro="" textlink="">
        <xdr:nvSpPr>
          <xdr:cNvPr id="12377" name="Line 68"/>
          <xdr:cNvSpPr>
            <a:spLocks noChangeShapeType="1"/>
          </xdr:cNvSpPr>
        </xdr:nvSpPr>
        <xdr:spPr bwMode="auto">
          <a:xfrm>
            <a:off x="3692" y="2819"/>
            <a:ext cx="231" cy="2"/>
          </a:xfrm>
          <a:prstGeom prst="line">
            <a:avLst/>
          </a:prstGeom>
          <a:noFill/>
          <a:ln w="0">
            <a:solidFill>
              <a:srgbClr val="000000"/>
            </a:solidFill>
            <a:round/>
            <a:headEnd/>
            <a:tailEnd/>
          </a:ln>
        </xdr:spPr>
      </xdr:sp>
      <xdr:sp macro="" textlink="">
        <xdr:nvSpPr>
          <xdr:cNvPr id="12378" name="Line 69"/>
          <xdr:cNvSpPr>
            <a:spLocks noChangeShapeType="1"/>
          </xdr:cNvSpPr>
        </xdr:nvSpPr>
        <xdr:spPr bwMode="auto">
          <a:xfrm>
            <a:off x="3757" y="2938"/>
            <a:ext cx="189" cy="1"/>
          </a:xfrm>
          <a:prstGeom prst="line">
            <a:avLst/>
          </a:prstGeom>
          <a:noFill/>
          <a:ln w="0">
            <a:solidFill>
              <a:srgbClr val="000000"/>
            </a:solidFill>
            <a:round/>
            <a:headEnd/>
            <a:tailEnd/>
          </a:ln>
        </xdr:spPr>
      </xdr:sp>
      <xdr:sp macro="" textlink="">
        <xdr:nvSpPr>
          <xdr:cNvPr id="12379" name="Freeform 70"/>
          <xdr:cNvSpPr>
            <a:spLocks/>
          </xdr:cNvSpPr>
        </xdr:nvSpPr>
        <xdr:spPr bwMode="auto">
          <a:xfrm>
            <a:off x="3728" y="3009"/>
            <a:ext cx="44" cy="23"/>
          </a:xfrm>
          <a:custGeom>
            <a:avLst/>
            <a:gdLst>
              <a:gd name="T0" fmla="*/ 0 w 112"/>
              <a:gd name="T1" fmla="*/ 0 h 54"/>
              <a:gd name="T2" fmla="*/ 0 w 112"/>
              <a:gd name="T3" fmla="*/ 0 h 54"/>
              <a:gd name="T4" fmla="*/ 0 w 112"/>
              <a:gd name="T5" fmla="*/ 0 h 54"/>
              <a:gd name="T6" fmla="*/ 0 w 112"/>
              <a:gd name="T7" fmla="*/ 0 h 54"/>
              <a:gd name="T8" fmla="*/ 0 w 112"/>
              <a:gd name="T9" fmla="*/ 0 h 54"/>
              <a:gd name="T10" fmla="*/ 0 60000 65536"/>
              <a:gd name="T11" fmla="*/ 0 60000 65536"/>
              <a:gd name="T12" fmla="*/ 0 60000 65536"/>
              <a:gd name="T13" fmla="*/ 0 60000 65536"/>
              <a:gd name="T14" fmla="*/ 0 60000 65536"/>
              <a:gd name="T15" fmla="*/ 0 w 112"/>
              <a:gd name="T16" fmla="*/ 0 h 54"/>
              <a:gd name="T17" fmla="*/ 112 w 112"/>
              <a:gd name="T18" fmla="*/ 54 h 54"/>
            </a:gdLst>
            <a:ahLst/>
            <a:cxnLst>
              <a:cxn ang="T10">
                <a:pos x="T0" y="T1"/>
              </a:cxn>
              <a:cxn ang="T11">
                <a:pos x="T2" y="T3"/>
              </a:cxn>
              <a:cxn ang="T12">
                <a:pos x="T4" y="T5"/>
              </a:cxn>
              <a:cxn ang="T13">
                <a:pos x="T6" y="T7"/>
              </a:cxn>
              <a:cxn ang="T14">
                <a:pos x="T8" y="T9"/>
              </a:cxn>
            </a:cxnLst>
            <a:rect l="T15" t="T16" r="T17" b="T18"/>
            <a:pathLst>
              <a:path w="112" h="54">
                <a:moveTo>
                  <a:pt x="0" y="54"/>
                </a:moveTo>
                <a:lnTo>
                  <a:pt x="86" y="54"/>
                </a:lnTo>
                <a:lnTo>
                  <a:pt x="86" y="0"/>
                </a:lnTo>
                <a:lnTo>
                  <a:pt x="97" y="0"/>
                </a:lnTo>
                <a:lnTo>
                  <a:pt x="112" y="0"/>
                </a:lnTo>
              </a:path>
            </a:pathLst>
          </a:custGeom>
          <a:noFill/>
          <a:ln w="0">
            <a:solidFill>
              <a:srgbClr val="000000"/>
            </a:solidFill>
            <a:prstDash val="solid"/>
            <a:round/>
            <a:headEnd/>
            <a:tailEnd/>
          </a:ln>
        </xdr:spPr>
      </xdr:sp>
      <xdr:sp macro="" textlink="">
        <xdr:nvSpPr>
          <xdr:cNvPr id="12380" name="Line 71"/>
          <xdr:cNvSpPr>
            <a:spLocks noChangeShapeType="1"/>
          </xdr:cNvSpPr>
        </xdr:nvSpPr>
        <xdr:spPr bwMode="auto">
          <a:xfrm>
            <a:off x="2559" y="3275"/>
            <a:ext cx="2" cy="361"/>
          </a:xfrm>
          <a:prstGeom prst="line">
            <a:avLst/>
          </a:prstGeom>
          <a:noFill/>
          <a:ln w="0">
            <a:solidFill>
              <a:srgbClr val="000000"/>
            </a:solidFill>
            <a:round/>
            <a:headEnd/>
            <a:tailEnd/>
          </a:ln>
        </xdr:spPr>
      </xdr:sp>
      <xdr:sp macro="" textlink="">
        <xdr:nvSpPr>
          <xdr:cNvPr id="12381" name="Line 72"/>
          <xdr:cNvSpPr>
            <a:spLocks noChangeShapeType="1"/>
          </xdr:cNvSpPr>
        </xdr:nvSpPr>
        <xdr:spPr bwMode="auto">
          <a:xfrm>
            <a:off x="2475" y="2987"/>
            <a:ext cx="1" cy="274"/>
          </a:xfrm>
          <a:prstGeom prst="line">
            <a:avLst/>
          </a:prstGeom>
          <a:noFill/>
          <a:ln w="0">
            <a:solidFill>
              <a:srgbClr val="000000"/>
            </a:solidFill>
            <a:round/>
            <a:headEnd/>
            <a:tailEnd/>
          </a:ln>
        </xdr:spPr>
      </xdr:sp>
      <xdr:sp macro="" textlink="">
        <xdr:nvSpPr>
          <xdr:cNvPr id="12382" name="Line 73"/>
          <xdr:cNvSpPr>
            <a:spLocks noChangeShapeType="1"/>
          </xdr:cNvSpPr>
        </xdr:nvSpPr>
        <xdr:spPr bwMode="auto">
          <a:xfrm>
            <a:off x="2367" y="1947"/>
            <a:ext cx="0" cy="597"/>
          </a:xfrm>
          <a:prstGeom prst="line">
            <a:avLst/>
          </a:prstGeom>
          <a:noFill/>
          <a:ln w="9525">
            <a:solidFill>
              <a:srgbClr val="000000"/>
            </a:solidFill>
            <a:round/>
            <a:headEnd/>
            <a:tailEnd/>
          </a:ln>
        </xdr:spPr>
      </xdr:sp>
      <xdr:sp macro="" textlink="">
        <xdr:nvSpPr>
          <xdr:cNvPr id="12383" name="Line 74"/>
          <xdr:cNvSpPr>
            <a:spLocks noChangeShapeType="1"/>
          </xdr:cNvSpPr>
        </xdr:nvSpPr>
        <xdr:spPr bwMode="auto">
          <a:xfrm>
            <a:off x="3916" y="3354"/>
            <a:ext cx="2" cy="155"/>
          </a:xfrm>
          <a:prstGeom prst="line">
            <a:avLst/>
          </a:prstGeom>
          <a:noFill/>
          <a:ln w="0">
            <a:solidFill>
              <a:srgbClr val="000000"/>
            </a:solidFill>
            <a:round/>
            <a:headEnd/>
            <a:tailEnd/>
          </a:ln>
        </xdr:spPr>
      </xdr:sp>
      <xdr:sp macro="" textlink="">
        <xdr:nvSpPr>
          <xdr:cNvPr id="12384" name="Freeform 75"/>
          <xdr:cNvSpPr>
            <a:spLocks/>
          </xdr:cNvSpPr>
        </xdr:nvSpPr>
        <xdr:spPr bwMode="auto">
          <a:xfrm>
            <a:off x="2960" y="2778"/>
            <a:ext cx="984" cy="329"/>
          </a:xfrm>
          <a:custGeom>
            <a:avLst/>
            <a:gdLst>
              <a:gd name="T0" fmla="*/ 0 w 2409"/>
              <a:gd name="T1" fmla="*/ 0 h 742"/>
              <a:gd name="T2" fmla="*/ 0 w 2409"/>
              <a:gd name="T3" fmla="*/ 0 h 742"/>
              <a:gd name="T4" fmla="*/ 0 w 2409"/>
              <a:gd name="T5" fmla="*/ 0 h 742"/>
              <a:gd name="T6" fmla="*/ 0 w 2409"/>
              <a:gd name="T7" fmla="*/ 0 h 742"/>
              <a:gd name="T8" fmla="*/ 0 w 2409"/>
              <a:gd name="T9" fmla="*/ 0 h 742"/>
              <a:gd name="T10" fmla="*/ 0 w 2409"/>
              <a:gd name="T11" fmla="*/ 0 h 742"/>
              <a:gd name="T12" fmla="*/ 0 w 2409"/>
              <a:gd name="T13" fmla="*/ 0 h 742"/>
              <a:gd name="T14" fmla="*/ 0 w 2409"/>
              <a:gd name="T15" fmla="*/ 0 h 742"/>
              <a:gd name="T16" fmla="*/ 0 w 2409"/>
              <a:gd name="T17" fmla="*/ 0 h 742"/>
              <a:gd name="T18" fmla="*/ 0 w 2409"/>
              <a:gd name="T19" fmla="*/ 0 h 742"/>
              <a:gd name="T20" fmla="*/ 0 w 2409"/>
              <a:gd name="T21" fmla="*/ 0 h 742"/>
              <a:gd name="T22" fmla="*/ 0 w 2409"/>
              <a:gd name="T23" fmla="*/ 0 h 742"/>
              <a:gd name="T24" fmla="*/ 0 w 2409"/>
              <a:gd name="T25" fmla="*/ 0 h 742"/>
              <a:gd name="T26" fmla="*/ 0 w 2409"/>
              <a:gd name="T27" fmla="*/ 0 h 742"/>
              <a:gd name="T28" fmla="*/ 0 w 2409"/>
              <a:gd name="T29" fmla="*/ 0 h 742"/>
              <a:gd name="T30" fmla="*/ 0 w 2409"/>
              <a:gd name="T31" fmla="*/ 0 h 742"/>
              <a:gd name="T32" fmla="*/ 0 w 2409"/>
              <a:gd name="T33" fmla="*/ 0 h 742"/>
              <a:gd name="T34" fmla="*/ 0 w 2409"/>
              <a:gd name="T35" fmla="*/ 0 h 742"/>
              <a:gd name="T36" fmla="*/ 0 w 2409"/>
              <a:gd name="T37" fmla="*/ 0 h 742"/>
              <a:gd name="T38" fmla="*/ 0 w 2409"/>
              <a:gd name="T39" fmla="*/ 0 h 742"/>
              <a:gd name="T40" fmla="*/ 0 w 2409"/>
              <a:gd name="T41" fmla="*/ 0 h 742"/>
              <a:gd name="T42" fmla="*/ 0 w 2409"/>
              <a:gd name="T43" fmla="*/ 0 h 742"/>
              <a:gd name="T44" fmla="*/ 0 w 2409"/>
              <a:gd name="T45" fmla="*/ 0 h 742"/>
              <a:gd name="T46" fmla="*/ 0 w 2409"/>
              <a:gd name="T47" fmla="*/ 0 h 742"/>
              <a:gd name="T48" fmla="*/ 0 w 2409"/>
              <a:gd name="T49" fmla="*/ 0 h 742"/>
              <a:gd name="T50" fmla="*/ 0 w 2409"/>
              <a:gd name="T51" fmla="*/ 0 h 742"/>
              <a:gd name="T52" fmla="*/ 0 w 2409"/>
              <a:gd name="T53" fmla="*/ 0 h 742"/>
              <a:gd name="T54" fmla="*/ 0 w 2409"/>
              <a:gd name="T55" fmla="*/ 0 h 742"/>
              <a:gd name="T56" fmla="*/ 0 w 2409"/>
              <a:gd name="T57" fmla="*/ 0 h 742"/>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w 2409"/>
              <a:gd name="T88" fmla="*/ 0 h 742"/>
              <a:gd name="T89" fmla="*/ 2409 w 2409"/>
              <a:gd name="T90" fmla="*/ 742 h 742"/>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T87" t="T88" r="T89" b="T90"/>
            <a:pathLst>
              <a:path w="2409" h="742">
                <a:moveTo>
                  <a:pt x="0" y="742"/>
                </a:moveTo>
                <a:lnTo>
                  <a:pt x="129" y="610"/>
                </a:lnTo>
                <a:lnTo>
                  <a:pt x="213" y="518"/>
                </a:lnTo>
                <a:lnTo>
                  <a:pt x="301" y="447"/>
                </a:lnTo>
                <a:lnTo>
                  <a:pt x="370" y="358"/>
                </a:lnTo>
                <a:lnTo>
                  <a:pt x="474" y="303"/>
                </a:lnTo>
                <a:lnTo>
                  <a:pt x="579" y="249"/>
                </a:lnTo>
                <a:lnTo>
                  <a:pt x="651" y="159"/>
                </a:lnTo>
                <a:lnTo>
                  <a:pt x="737" y="87"/>
                </a:lnTo>
                <a:lnTo>
                  <a:pt x="839" y="33"/>
                </a:lnTo>
                <a:lnTo>
                  <a:pt x="947" y="68"/>
                </a:lnTo>
                <a:lnTo>
                  <a:pt x="1065" y="87"/>
                </a:lnTo>
                <a:lnTo>
                  <a:pt x="1192" y="91"/>
                </a:lnTo>
                <a:lnTo>
                  <a:pt x="1293" y="68"/>
                </a:lnTo>
                <a:lnTo>
                  <a:pt x="1444" y="7"/>
                </a:lnTo>
                <a:lnTo>
                  <a:pt x="1536" y="0"/>
                </a:lnTo>
                <a:lnTo>
                  <a:pt x="1658" y="5"/>
                </a:lnTo>
                <a:lnTo>
                  <a:pt x="1766" y="68"/>
                </a:lnTo>
                <a:lnTo>
                  <a:pt x="1865" y="175"/>
                </a:lnTo>
                <a:lnTo>
                  <a:pt x="1936" y="305"/>
                </a:lnTo>
                <a:lnTo>
                  <a:pt x="1972" y="433"/>
                </a:lnTo>
                <a:lnTo>
                  <a:pt x="1989" y="543"/>
                </a:lnTo>
                <a:lnTo>
                  <a:pt x="2014" y="603"/>
                </a:lnTo>
                <a:lnTo>
                  <a:pt x="2073" y="613"/>
                </a:lnTo>
                <a:lnTo>
                  <a:pt x="2150" y="593"/>
                </a:lnTo>
                <a:lnTo>
                  <a:pt x="2231" y="585"/>
                </a:lnTo>
                <a:lnTo>
                  <a:pt x="2335" y="575"/>
                </a:lnTo>
                <a:lnTo>
                  <a:pt x="2375" y="571"/>
                </a:lnTo>
                <a:lnTo>
                  <a:pt x="2409" y="571"/>
                </a:lnTo>
              </a:path>
            </a:pathLst>
          </a:custGeom>
          <a:noFill/>
          <a:ln w="0">
            <a:solidFill>
              <a:srgbClr val="000000"/>
            </a:solidFill>
            <a:prstDash val="solid"/>
            <a:round/>
            <a:headEnd/>
            <a:tailEnd/>
          </a:ln>
        </xdr:spPr>
      </xdr:sp>
      <xdr:sp macro="" textlink="">
        <xdr:nvSpPr>
          <xdr:cNvPr id="12385" name="Freeform 76"/>
          <xdr:cNvSpPr>
            <a:spLocks/>
          </xdr:cNvSpPr>
        </xdr:nvSpPr>
        <xdr:spPr bwMode="auto">
          <a:xfrm>
            <a:off x="2976" y="2681"/>
            <a:ext cx="186" cy="32"/>
          </a:xfrm>
          <a:custGeom>
            <a:avLst/>
            <a:gdLst>
              <a:gd name="T0" fmla="*/ 0 w 455"/>
              <a:gd name="T1" fmla="*/ 0 h 73"/>
              <a:gd name="T2" fmla="*/ 0 w 455"/>
              <a:gd name="T3" fmla="*/ 0 h 73"/>
              <a:gd name="T4" fmla="*/ 0 w 455"/>
              <a:gd name="T5" fmla="*/ 0 h 73"/>
              <a:gd name="T6" fmla="*/ 0 w 455"/>
              <a:gd name="T7" fmla="*/ 0 h 73"/>
              <a:gd name="T8" fmla="*/ 0 w 455"/>
              <a:gd name="T9" fmla="*/ 0 h 73"/>
              <a:gd name="T10" fmla="*/ 0 w 455"/>
              <a:gd name="T11" fmla="*/ 0 h 73"/>
              <a:gd name="T12" fmla="*/ 0 w 455"/>
              <a:gd name="T13" fmla="*/ 0 h 73"/>
              <a:gd name="T14" fmla="*/ 0 w 455"/>
              <a:gd name="T15" fmla="*/ 0 h 73"/>
              <a:gd name="T16" fmla="*/ 0 60000 65536"/>
              <a:gd name="T17" fmla="*/ 0 60000 65536"/>
              <a:gd name="T18" fmla="*/ 0 60000 65536"/>
              <a:gd name="T19" fmla="*/ 0 60000 65536"/>
              <a:gd name="T20" fmla="*/ 0 60000 65536"/>
              <a:gd name="T21" fmla="*/ 0 60000 65536"/>
              <a:gd name="T22" fmla="*/ 0 60000 65536"/>
              <a:gd name="T23" fmla="*/ 0 60000 65536"/>
              <a:gd name="T24" fmla="*/ 0 w 455"/>
              <a:gd name="T25" fmla="*/ 0 h 73"/>
              <a:gd name="T26" fmla="*/ 455 w 455"/>
              <a:gd name="T27" fmla="*/ 73 h 73"/>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455" h="73">
                <a:moveTo>
                  <a:pt x="0" y="73"/>
                </a:moveTo>
                <a:lnTo>
                  <a:pt x="119" y="73"/>
                </a:lnTo>
                <a:lnTo>
                  <a:pt x="119" y="39"/>
                </a:lnTo>
                <a:lnTo>
                  <a:pt x="231" y="39"/>
                </a:lnTo>
                <a:lnTo>
                  <a:pt x="231" y="19"/>
                </a:lnTo>
                <a:lnTo>
                  <a:pt x="359" y="19"/>
                </a:lnTo>
                <a:lnTo>
                  <a:pt x="359" y="0"/>
                </a:lnTo>
                <a:lnTo>
                  <a:pt x="455" y="0"/>
                </a:lnTo>
              </a:path>
            </a:pathLst>
          </a:custGeom>
          <a:noFill/>
          <a:ln w="0">
            <a:solidFill>
              <a:srgbClr val="000000"/>
            </a:solidFill>
            <a:prstDash val="solid"/>
            <a:round/>
            <a:headEnd/>
            <a:tailEnd/>
          </a:ln>
        </xdr:spPr>
      </xdr:sp>
      <xdr:sp macro="" textlink="">
        <xdr:nvSpPr>
          <xdr:cNvPr id="12386" name="Freeform 77"/>
          <xdr:cNvSpPr>
            <a:spLocks/>
          </xdr:cNvSpPr>
        </xdr:nvSpPr>
        <xdr:spPr bwMode="auto">
          <a:xfrm>
            <a:off x="3149" y="2692"/>
            <a:ext cx="77" cy="157"/>
          </a:xfrm>
          <a:custGeom>
            <a:avLst/>
            <a:gdLst>
              <a:gd name="T0" fmla="*/ 0 w 190"/>
              <a:gd name="T1" fmla="*/ 0 h 356"/>
              <a:gd name="T2" fmla="*/ 0 w 190"/>
              <a:gd name="T3" fmla="*/ 0 h 356"/>
              <a:gd name="T4" fmla="*/ 0 w 190"/>
              <a:gd name="T5" fmla="*/ 0 h 356"/>
              <a:gd name="T6" fmla="*/ 0 w 190"/>
              <a:gd name="T7" fmla="*/ 0 h 356"/>
              <a:gd name="T8" fmla="*/ 0 w 190"/>
              <a:gd name="T9" fmla="*/ 0 h 356"/>
              <a:gd name="T10" fmla="*/ 0 w 190"/>
              <a:gd name="T11" fmla="*/ 0 h 356"/>
              <a:gd name="T12" fmla="*/ 0 60000 65536"/>
              <a:gd name="T13" fmla="*/ 0 60000 65536"/>
              <a:gd name="T14" fmla="*/ 0 60000 65536"/>
              <a:gd name="T15" fmla="*/ 0 60000 65536"/>
              <a:gd name="T16" fmla="*/ 0 60000 65536"/>
              <a:gd name="T17" fmla="*/ 0 60000 65536"/>
              <a:gd name="T18" fmla="*/ 0 w 190"/>
              <a:gd name="T19" fmla="*/ 0 h 356"/>
              <a:gd name="T20" fmla="*/ 190 w 190"/>
              <a:gd name="T21" fmla="*/ 356 h 356"/>
            </a:gdLst>
            <a:ahLst/>
            <a:cxnLst>
              <a:cxn ang="T12">
                <a:pos x="T0" y="T1"/>
              </a:cxn>
              <a:cxn ang="T13">
                <a:pos x="T2" y="T3"/>
              </a:cxn>
              <a:cxn ang="T14">
                <a:pos x="T4" y="T5"/>
              </a:cxn>
              <a:cxn ang="T15">
                <a:pos x="T6" y="T7"/>
              </a:cxn>
              <a:cxn ang="T16">
                <a:pos x="T8" y="T9"/>
              </a:cxn>
              <a:cxn ang="T17">
                <a:pos x="T10" y="T11"/>
              </a:cxn>
            </a:cxnLst>
            <a:rect l="T18" t="T19" r="T20" b="T21"/>
            <a:pathLst>
              <a:path w="190" h="356">
                <a:moveTo>
                  <a:pt x="0" y="0"/>
                </a:moveTo>
                <a:lnTo>
                  <a:pt x="86" y="0"/>
                </a:lnTo>
                <a:lnTo>
                  <a:pt x="84" y="338"/>
                </a:lnTo>
                <a:lnTo>
                  <a:pt x="84" y="265"/>
                </a:lnTo>
                <a:lnTo>
                  <a:pt x="190" y="265"/>
                </a:lnTo>
                <a:lnTo>
                  <a:pt x="190" y="356"/>
                </a:lnTo>
              </a:path>
            </a:pathLst>
          </a:custGeom>
          <a:noFill/>
          <a:ln w="0">
            <a:solidFill>
              <a:srgbClr val="000000"/>
            </a:solidFill>
            <a:prstDash val="solid"/>
            <a:round/>
            <a:headEnd/>
            <a:tailEnd/>
          </a:ln>
        </xdr:spPr>
      </xdr:sp>
      <xdr:sp macro="" textlink="">
        <xdr:nvSpPr>
          <xdr:cNvPr id="12387" name="Freeform 78"/>
          <xdr:cNvSpPr>
            <a:spLocks/>
          </xdr:cNvSpPr>
        </xdr:nvSpPr>
        <xdr:spPr bwMode="auto">
          <a:xfrm>
            <a:off x="2207" y="1876"/>
            <a:ext cx="348" cy="67"/>
          </a:xfrm>
          <a:custGeom>
            <a:avLst/>
            <a:gdLst>
              <a:gd name="T0" fmla="*/ 0 w 851"/>
              <a:gd name="T1" fmla="*/ 0 h 154"/>
              <a:gd name="T2" fmla="*/ 0 w 851"/>
              <a:gd name="T3" fmla="*/ 0 h 154"/>
              <a:gd name="T4" fmla="*/ 0 w 851"/>
              <a:gd name="T5" fmla="*/ 0 h 154"/>
              <a:gd name="T6" fmla="*/ 0 w 851"/>
              <a:gd name="T7" fmla="*/ 0 h 154"/>
              <a:gd name="T8" fmla="*/ 0 w 851"/>
              <a:gd name="T9" fmla="*/ 0 h 154"/>
              <a:gd name="T10" fmla="*/ 0 w 851"/>
              <a:gd name="T11" fmla="*/ 0 h 154"/>
              <a:gd name="T12" fmla="*/ 0 w 851"/>
              <a:gd name="T13" fmla="*/ 0 h 154"/>
              <a:gd name="T14" fmla="*/ 0 w 851"/>
              <a:gd name="T15" fmla="*/ 0 h 154"/>
              <a:gd name="T16" fmla="*/ 0 60000 65536"/>
              <a:gd name="T17" fmla="*/ 0 60000 65536"/>
              <a:gd name="T18" fmla="*/ 0 60000 65536"/>
              <a:gd name="T19" fmla="*/ 0 60000 65536"/>
              <a:gd name="T20" fmla="*/ 0 60000 65536"/>
              <a:gd name="T21" fmla="*/ 0 60000 65536"/>
              <a:gd name="T22" fmla="*/ 0 60000 65536"/>
              <a:gd name="T23" fmla="*/ 0 60000 65536"/>
              <a:gd name="T24" fmla="*/ 0 w 851"/>
              <a:gd name="T25" fmla="*/ 0 h 154"/>
              <a:gd name="T26" fmla="*/ 851 w 851"/>
              <a:gd name="T27" fmla="*/ 154 h 154"/>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851" h="154">
                <a:moveTo>
                  <a:pt x="0" y="0"/>
                </a:moveTo>
                <a:lnTo>
                  <a:pt x="140" y="82"/>
                </a:lnTo>
                <a:lnTo>
                  <a:pt x="244" y="138"/>
                </a:lnTo>
                <a:lnTo>
                  <a:pt x="365" y="154"/>
                </a:lnTo>
                <a:lnTo>
                  <a:pt x="487" y="154"/>
                </a:lnTo>
                <a:lnTo>
                  <a:pt x="609" y="138"/>
                </a:lnTo>
                <a:lnTo>
                  <a:pt x="713" y="99"/>
                </a:lnTo>
                <a:lnTo>
                  <a:pt x="851" y="77"/>
                </a:lnTo>
              </a:path>
            </a:pathLst>
          </a:custGeom>
          <a:noFill/>
          <a:ln w="0">
            <a:solidFill>
              <a:srgbClr val="000000"/>
            </a:solidFill>
            <a:prstDash val="solid"/>
            <a:round/>
            <a:headEnd/>
            <a:tailEnd/>
          </a:ln>
        </xdr:spPr>
      </xdr:sp>
      <xdr:sp macro="" textlink="">
        <xdr:nvSpPr>
          <xdr:cNvPr id="12388" name="Freeform 79"/>
          <xdr:cNvSpPr>
            <a:spLocks/>
          </xdr:cNvSpPr>
        </xdr:nvSpPr>
        <xdr:spPr bwMode="auto">
          <a:xfrm>
            <a:off x="2555" y="1853"/>
            <a:ext cx="413" cy="123"/>
          </a:xfrm>
          <a:custGeom>
            <a:avLst/>
            <a:gdLst>
              <a:gd name="T0" fmla="*/ 0 w 1012"/>
              <a:gd name="T1" fmla="*/ 0 h 277"/>
              <a:gd name="T2" fmla="*/ 0 w 1012"/>
              <a:gd name="T3" fmla="*/ 0 h 277"/>
              <a:gd name="T4" fmla="*/ 0 w 1012"/>
              <a:gd name="T5" fmla="*/ 0 h 277"/>
              <a:gd name="T6" fmla="*/ 0 w 1012"/>
              <a:gd name="T7" fmla="*/ 0 h 277"/>
              <a:gd name="T8" fmla="*/ 0 w 1012"/>
              <a:gd name="T9" fmla="*/ 0 h 277"/>
              <a:gd name="T10" fmla="*/ 0 w 1012"/>
              <a:gd name="T11" fmla="*/ 0 h 277"/>
              <a:gd name="T12" fmla="*/ 0 w 1012"/>
              <a:gd name="T13" fmla="*/ 0 h 277"/>
              <a:gd name="T14" fmla="*/ 0 w 1012"/>
              <a:gd name="T15" fmla="*/ 0 h 277"/>
              <a:gd name="T16" fmla="*/ 0 w 1012"/>
              <a:gd name="T17" fmla="*/ 0 h 277"/>
              <a:gd name="T18" fmla="*/ 0 w 1012"/>
              <a:gd name="T19" fmla="*/ 0 h 277"/>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 name="T30" fmla="*/ 0 w 1012"/>
              <a:gd name="T31" fmla="*/ 0 h 277"/>
              <a:gd name="T32" fmla="*/ 1012 w 1012"/>
              <a:gd name="T33" fmla="*/ 277 h 277"/>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T30" t="T31" r="T32" b="T33"/>
            <a:pathLst>
              <a:path w="1012" h="277">
                <a:moveTo>
                  <a:pt x="0" y="126"/>
                </a:moveTo>
                <a:lnTo>
                  <a:pt x="152" y="26"/>
                </a:lnTo>
                <a:lnTo>
                  <a:pt x="256" y="0"/>
                </a:lnTo>
                <a:lnTo>
                  <a:pt x="332" y="0"/>
                </a:lnTo>
                <a:lnTo>
                  <a:pt x="442" y="113"/>
                </a:lnTo>
                <a:lnTo>
                  <a:pt x="597" y="203"/>
                </a:lnTo>
                <a:lnTo>
                  <a:pt x="718" y="203"/>
                </a:lnTo>
                <a:lnTo>
                  <a:pt x="839" y="221"/>
                </a:lnTo>
                <a:lnTo>
                  <a:pt x="960" y="257"/>
                </a:lnTo>
                <a:lnTo>
                  <a:pt x="1012" y="277"/>
                </a:lnTo>
              </a:path>
            </a:pathLst>
          </a:custGeom>
          <a:noFill/>
          <a:ln w="0">
            <a:solidFill>
              <a:srgbClr val="000000"/>
            </a:solidFill>
            <a:prstDash val="solid"/>
            <a:round/>
            <a:headEnd/>
            <a:tailEnd/>
          </a:ln>
        </xdr:spPr>
      </xdr:sp>
      <xdr:sp macro="" textlink="">
        <xdr:nvSpPr>
          <xdr:cNvPr id="12389" name="Freeform 80"/>
          <xdr:cNvSpPr>
            <a:spLocks/>
          </xdr:cNvSpPr>
        </xdr:nvSpPr>
        <xdr:spPr bwMode="auto">
          <a:xfrm>
            <a:off x="2171" y="3227"/>
            <a:ext cx="40" cy="206"/>
          </a:xfrm>
          <a:custGeom>
            <a:avLst/>
            <a:gdLst>
              <a:gd name="T0" fmla="*/ 0 w 99"/>
              <a:gd name="T1" fmla="*/ 0 h 468"/>
              <a:gd name="T2" fmla="*/ 0 w 99"/>
              <a:gd name="T3" fmla="*/ 0 h 468"/>
              <a:gd name="T4" fmla="*/ 0 w 99"/>
              <a:gd name="T5" fmla="*/ 0 h 468"/>
              <a:gd name="T6" fmla="*/ 0 w 99"/>
              <a:gd name="T7" fmla="*/ 0 h 468"/>
              <a:gd name="T8" fmla="*/ 0 60000 65536"/>
              <a:gd name="T9" fmla="*/ 0 60000 65536"/>
              <a:gd name="T10" fmla="*/ 0 60000 65536"/>
              <a:gd name="T11" fmla="*/ 0 60000 65536"/>
              <a:gd name="T12" fmla="*/ 0 w 99"/>
              <a:gd name="T13" fmla="*/ 0 h 468"/>
              <a:gd name="T14" fmla="*/ 99 w 99"/>
              <a:gd name="T15" fmla="*/ 468 h 468"/>
            </a:gdLst>
            <a:ahLst/>
            <a:cxnLst>
              <a:cxn ang="T8">
                <a:pos x="T0" y="T1"/>
              </a:cxn>
              <a:cxn ang="T9">
                <a:pos x="T2" y="T3"/>
              </a:cxn>
              <a:cxn ang="T10">
                <a:pos x="T4" y="T5"/>
              </a:cxn>
              <a:cxn ang="T11">
                <a:pos x="T6" y="T7"/>
              </a:cxn>
            </a:cxnLst>
            <a:rect l="T12" t="T13" r="T14" b="T15"/>
            <a:pathLst>
              <a:path w="99" h="468">
                <a:moveTo>
                  <a:pt x="99" y="0"/>
                </a:moveTo>
                <a:lnTo>
                  <a:pt x="99" y="333"/>
                </a:lnTo>
                <a:lnTo>
                  <a:pt x="0" y="333"/>
                </a:lnTo>
                <a:lnTo>
                  <a:pt x="0" y="468"/>
                </a:lnTo>
              </a:path>
            </a:pathLst>
          </a:custGeom>
          <a:noFill/>
          <a:ln w="0">
            <a:solidFill>
              <a:srgbClr val="000000"/>
            </a:solidFill>
            <a:prstDash val="solid"/>
            <a:round/>
            <a:headEnd/>
            <a:tailEnd/>
          </a:ln>
        </xdr:spPr>
      </xdr:sp>
      <xdr:sp macro="" textlink="">
        <xdr:nvSpPr>
          <xdr:cNvPr id="12390" name="Freeform 81"/>
          <xdr:cNvSpPr>
            <a:spLocks/>
          </xdr:cNvSpPr>
        </xdr:nvSpPr>
        <xdr:spPr bwMode="auto">
          <a:xfrm>
            <a:off x="3710" y="2723"/>
            <a:ext cx="58" cy="96"/>
          </a:xfrm>
          <a:custGeom>
            <a:avLst/>
            <a:gdLst>
              <a:gd name="T0" fmla="*/ 0 w 141"/>
              <a:gd name="T1" fmla="*/ 0 h 215"/>
              <a:gd name="T2" fmla="*/ 0 w 141"/>
              <a:gd name="T3" fmla="*/ 0 h 215"/>
              <a:gd name="T4" fmla="*/ 0 w 141"/>
              <a:gd name="T5" fmla="*/ 0 h 215"/>
              <a:gd name="T6" fmla="*/ 0 w 141"/>
              <a:gd name="T7" fmla="*/ 0 h 215"/>
              <a:gd name="T8" fmla="*/ 0 60000 65536"/>
              <a:gd name="T9" fmla="*/ 0 60000 65536"/>
              <a:gd name="T10" fmla="*/ 0 60000 65536"/>
              <a:gd name="T11" fmla="*/ 0 60000 65536"/>
              <a:gd name="T12" fmla="*/ 0 w 141"/>
              <a:gd name="T13" fmla="*/ 0 h 215"/>
              <a:gd name="T14" fmla="*/ 141 w 141"/>
              <a:gd name="T15" fmla="*/ 215 h 215"/>
            </a:gdLst>
            <a:ahLst/>
            <a:cxnLst>
              <a:cxn ang="T8">
                <a:pos x="T0" y="T1"/>
              </a:cxn>
              <a:cxn ang="T9">
                <a:pos x="T2" y="T3"/>
              </a:cxn>
              <a:cxn ang="T10">
                <a:pos x="T4" y="T5"/>
              </a:cxn>
              <a:cxn ang="T11">
                <a:pos x="T6" y="T7"/>
              </a:cxn>
            </a:cxnLst>
            <a:rect l="T12" t="T13" r="T14" b="T15"/>
            <a:pathLst>
              <a:path w="141" h="215">
                <a:moveTo>
                  <a:pt x="0" y="0"/>
                </a:moveTo>
                <a:lnTo>
                  <a:pt x="87" y="86"/>
                </a:lnTo>
                <a:lnTo>
                  <a:pt x="138" y="192"/>
                </a:lnTo>
                <a:lnTo>
                  <a:pt x="141" y="215"/>
                </a:lnTo>
              </a:path>
            </a:pathLst>
          </a:custGeom>
          <a:noFill/>
          <a:ln w="0">
            <a:solidFill>
              <a:srgbClr val="000000"/>
            </a:solidFill>
            <a:prstDash val="solid"/>
            <a:round/>
            <a:headEnd/>
            <a:tailEnd/>
          </a:ln>
        </xdr:spPr>
      </xdr:sp>
      <xdr:sp macro="" textlink="">
        <xdr:nvSpPr>
          <xdr:cNvPr id="12391" name="Line 82"/>
          <xdr:cNvSpPr>
            <a:spLocks noChangeShapeType="1"/>
          </xdr:cNvSpPr>
        </xdr:nvSpPr>
        <xdr:spPr bwMode="auto">
          <a:xfrm flipH="1">
            <a:off x="3139" y="2916"/>
            <a:ext cx="2" cy="720"/>
          </a:xfrm>
          <a:prstGeom prst="line">
            <a:avLst/>
          </a:prstGeom>
          <a:noFill/>
          <a:ln w="0">
            <a:solidFill>
              <a:srgbClr val="000000"/>
            </a:solidFill>
            <a:round/>
            <a:headEnd/>
            <a:tailEnd/>
          </a:ln>
        </xdr:spPr>
      </xdr:sp>
      <xdr:sp macro="" textlink="">
        <xdr:nvSpPr>
          <xdr:cNvPr id="12392" name="Freeform 83"/>
          <xdr:cNvSpPr>
            <a:spLocks/>
          </xdr:cNvSpPr>
        </xdr:nvSpPr>
        <xdr:spPr bwMode="auto">
          <a:xfrm>
            <a:off x="1188" y="1770"/>
            <a:ext cx="61" cy="1261"/>
          </a:xfrm>
          <a:custGeom>
            <a:avLst/>
            <a:gdLst>
              <a:gd name="T0" fmla="*/ 0 w 149"/>
              <a:gd name="T1" fmla="*/ 0 h 2856"/>
              <a:gd name="T2" fmla="*/ 0 w 149"/>
              <a:gd name="T3" fmla="*/ 0 h 2856"/>
              <a:gd name="T4" fmla="*/ 0 w 149"/>
              <a:gd name="T5" fmla="*/ 0 h 2856"/>
              <a:gd name="T6" fmla="*/ 0 w 149"/>
              <a:gd name="T7" fmla="*/ 0 h 2856"/>
              <a:gd name="T8" fmla="*/ 0 w 149"/>
              <a:gd name="T9" fmla="*/ 0 h 2856"/>
              <a:gd name="T10" fmla="*/ 0 w 149"/>
              <a:gd name="T11" fmla="*/ 0 h 2856"/>
              <a:gd name="T12" fmla="*/ 0 w 149"/>
              <a:gd name="T13" fmla="*/ 0 h 2856"/>
              <a:gd name="T14" fmla="*/ 0 w 149"/>
              <a:gd name="T15" fmla="*/ 0 h 2856"/>
              <a:gd name="T16" fmla="*/ 0 w 149"/>
              <a:gd name="T17" fmla="*/ 0 h 2856"/>
              <a:gd name="T18" fmla="*/ 0 w 149"/>
              <a:gd name="T19" fmla="*/ 0 h 2856"/>
              <a:gd name="T20" fmla="*/ 0 w 149"/>
              <a:gd name="T21" fmla="*/ 1 h 2856"/>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49"/>
              <a:gd name="T34" fmla="*/ 0 h 2856"/>
              <a:gd name="T35" fmla="*/ 149 w 149"/>
              <a:gd name="T36" fmla="*/ 2856 h 285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49" h="2856">
                <a:moveTo>
                  <a:pt x="0" y="0"/>
                </a:moveTo>
                <a:lnTo>
                  <a:pt x="0" y="248"/>
                </a:lnTo>
                <a:lnTo>
                  <a:pt x="20" y="248"/>
                </a:lnTo>
                <a:lnTo>
                  <a:pt x="20" y="822"/>
                </a:lnTo>
                <a:lnTo>
                  <a:pt x="71" y="822"/>
                </a:lnTo>
                <a:lnTo>
                  <a:pt x="78" y="1267"/>
                </a:lnTo>
                <a:lnTo>
                  <a:pt x="128" y="1267"/>
                </a:lnTo>
                <a:lnTo>
                  <a:pt x="131" y="1749"/>
                </a:lnTo>
                <a:lnTo>
                  <a:pt x="149" y="1786"/>
                </a:lnTo>
                <a:lnTo>
                  <a:pt x="141" y="2210"/>
                </a:lnTo>
                <a:lnTo>
                  <a:pt x="141" y="2856"/>
                </a:lnTo>
              </a:path>
            </a:pathLst>
          </a:custGeom>
          <a:noFill/>
          <a:ln w="0">
            <a:solidFill>
              <a:srgbClr val="000000"/>
            </a:solidFill>
            <a:prstDash val="solid"/>
            <a:round/>
            <a:headEnd/>
            <a:tailEnd/>
          </a:ln>
        </xdr:spPr>
      </xdr:sp>
      <xdr:sp macro="" textlink="">
        <xdr:nvSpPr>
          <xdr:cNvPr id="12393" name="Line 84"/>
          <xdr:cNvSpPr>
            <a:spLocks noChangeShapeType="1"/>
          </xdr:cNvSpPr>
        </xdr:nvSpPr>
        <xdr:spPr bwMode="auto">
          <a:xfrm>
            <a:off x="668" y="2787"/>
            <a:ext cx="272" cy="1"/>
          </a:xfrm>
          <a:prstGeom prst="line">
            <a:avLst/>
          </a:prstGeom>
          <a:noFill/>
          <a:ln w="0">
            <a:solidFill>
              <a:srgbClr val="000000"/>
            </a:solidFill>
            <a:round/>
            <a:headEnd/>
            <a:tailEnd/>
          </a:ln>
        </xdr:spPr>
      </xdr:sp>
      <xdr:sp macro="" textlink="">
        <xdr:nvSpPr>
          <xdr:cNvPr id="8277" name="Rectangle 85"/>
          <xdr:cNvSpPr>
            <a:spLocks noChangeArrowheads="1"/>
          </xdr:cNvSpPr>
        </xdr:nvSpPr>
        <xdr:spPr bwMode="auto">
          <a:xfrm>
            <a:off x="2482" y="3552"/>
            <a:ext cx="180"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Franklin</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278" name="Rectangle 86"/>
          <xdr:cNvSpPr>
            <a:spLocks noChangeArrowheads="1"/>
          </xdr:cNvSpPr>
        </xdr:nvSpPr>
        <xdr:spPr bwMode="auto">
          <a:xfrm>
            <a:off x="735" y="2260"/>
            <a:ext cx="129"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Sioux</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279" name="Rectangle 87"/>
          <xdr:cNvSpPr>
            <a:spLocks noChangeArrowheads="1"/>
          </xdr:cNvSpPr>
        </xdr:nvSpPr>
        <xdr:spPr bwMode="auto">
          <a:xfrm>
            <a:off x="972" y="2003"/>
            <a:ext cx="154"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Dawes</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280" name="Rectangle 88"/>
          <xdr:cNvSpPr>
            <a:spLocks noChangeArrowheads="1"/>
          </xdr:cNvSpPr>
        </xdr:nvSpPr>
        <xdr:spPr bwMode="auto">
          <a:xfrm>
            <a:off x="973" y="2281"/>
            <a:ext cx="238"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Box Butte</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281" name="Rectangle 89"/>
          <xdr:cNvSpPr>
            <a:spLocks noChangeArrowheads="1"/>
          </xdr:cNvSpPr>
        </xdr:nvSpPr>
        <xdr:spPr bwMode="auto">
          <a:xfrm>
            <a:off x="1006" y="2637"/>
            <a:ext cx="161"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Morrill</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282" name="Rectangle 90"/>
          <xdr:cNvSpPr>
            <a:spLocks noChangeArrowheads="1"/>
          </xdr:cNvSpPr>
        </xdr:nvSpPr>
        <xdr:spPr bwMode="auto">
          <a:xfrm>
            <a:off x="801" y="2930"/>
            <a:ext cx="219"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Cheyenne</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283" name="Rectangle 91"/>
          <xdr:cNvSpPr>
            <a:spLocks noChangeArrowheads="1"/>
          </xdr:cNvSpPr>
        </xdr:nvSpPr>
        <xdr:spPr bwMode="auto">
          <a:xfrm>
            <a:off x="615" y="2917"/>
            <a:ext cx="167"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Kimball</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284" name="Rectangle 92"/>
          <xdr:cNvSpPr>
            <a:spLocks noChangeArrowheads="1"/>
          </xdr:cNvSpPr>
        </xdr:nvSpPr>
        <xdr:spPr bwMode="auto">
          <a:xfrm>
            <a:off x="736" y="2645"/>
            <a:ext cx="161"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Banner</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285" name="Rectangle 93"/>
          <xdr:cNvSpPr>
            <a:spLocks noChangeArrowheads="1"/>
          </xdr:cNvSpPr>
        </xdr:nvSpPr>
        <xdr:spPr bwMode="auto">
          <a:xfrm>
            <a:off x="684" y="2453"/>
            <a:ext cx="283"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Scotts Bluff</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286" name="Rectangle 94"/>
          <xdr:cNvSpPr>
            <a:spLocks noChangeArrowheads="1"/>
          </xdr:cNvSpPr>
        </xdr:nvSpPr>
        <xdr:spPr bwMode="auto">
          <a:xfrm>
            <a:off x="1230" y="2052"/>
            <a:ext cx="199"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Sheridan</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287" name="Rectangle 95"/>
          <xdr:cNvSpPr>
            <a:spLocks noChangeArrowheads="1"/>
          </xdr:cNvSpPr>
        </xdr:nvSpPr>
        <xdr:spPr bwMode="auto">
          <a:xfrm>
            <a:off x="1751" y="2114"/>
            <a:ext cx="154"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Cherry</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288" name="Rectangle 96"/>
          <xdr:cNvSpPr>
            <a:spLocks noChangeArrowheads="1"/>
          </xdr:cNvSpPr>
        </xdr:nvSpPr>
        <xdr:spPr bwMode="auto">
          <a:xfrm>
            <a:off x="1507" y="2357"/>
            <a:ext cx="129"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Grant</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289" name="Rectangle 97"/>
          <xdr:cNvSpPr>
            <a:spLocks noChangeArrowheads="1"/>
          </xdr:cNvSpPr>
        </xdr:nvSpPr>
        <xdr:spPr bwMode="auto">
          <a:xfrm>
            <a:off x="1745" y="2342"/>
            <a:ext cx="167"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Hooker</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290" name="Rectangle 98"/>
          <xdr:cNvSpPr>
            <a:spLocks noChangeArrowheads="1"/>
          </xdr:cNvSpPr>
        </xdr:nvSpPr>
        <xdr:spPr bwMode="auto">
          <a:xfrm>
            <a:off x="1976" y="2292"/>
            <a:ext cx="180"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Thomas</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291" name="Rectangle 99"/>
          <xdr:cNvSpPr>
            <a:spLocks noChangeArrowheads="1"/>
          </xdr:cNvSpPr>
        </xdr:nvSpPr>
        <xdr:spPr bwMode="auto">
          <a:xfrm>
            <a:off x="2208" y="2341"/>
            <a:ext cx="141"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Blaine</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292" name="Rectangle 100"/>
          <xdr:cNvSpPr>
            <a:spLocks noChangeArrowheads="1"/>
          </xdr:cNvSpPr>
        </xdr:nvSpPr>
        <xdr:spPr bwMode="auto">
          <a:xfrm>
            <a:off x="2414" y="2447"/>
            <a:ext cx="116"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Loup</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293" name="Rectangle 101"/>
          <xdr:cNvSpPr>
            <a:spLocks noChangeArrowheads="1"/>
          </xdr:cNvSpPr>
        </xdr:nvSpPr>
        <xdr:spPr bwMode="auto">
          <a:xfrm>
            <a:off x="2588" y="2461"/>
            <a:ext cx="186"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Garfield</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294" name="Rectangle 102"/>
          <xdr:cNvSpPr>
            <a:spLocks noChangeArrowheads="1"/>
          </xdr:cNvSpPr>
        </xdr:nvSpPr>
        <xdr:spPr bwMode="auto">
          <a:xfrm>
            <a:off x="2768" y="2439"/>
            <a:ext cx="186"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Wheeler</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295" name="Rectangle 103"/>
          <xdr:cNvSpPr>
            <a:spLocks noChangeArrowheads="1"/>
          </xdr:cNvSpPr>
        </xdr:nvSpPr>
        <xdr:spPr bwMode="auto">
          <a:xfrm>
            <a:off x="1257" y="2608"/>
            <a:ext cx="167" cy="164"/>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Garden</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296" name="Rectangle 104"/>
          <xdr:cNvSpPr>
            <a:spLocks noChangeArrowheads="1"/>
          </xdr:cNvSpPr>
        </xdr:nvSpPr>
        <xdr:spPr bwMode="auto">
          <a:xfrm>
            <a:off x="1084" y="2922"/>
            <a:ext cx="129"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Deuel</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297" name="Rectangle 105"/>
          <xdr:cNvSpPr>
            <a:spLocks noChangeArrowheads="1"/>
          </xdr:cNvSpPr>
        </xdr:nvSpPr>
        <xdr:spPr bwMode="auto">
          <a:xfrm>
            <a:off x="1431" y="2743"/>
            <a:ext cx="116"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Keith</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298" name="Rectangle 106"/>
          <xdr:cNvSpPr>
            <a:spLocks noChangeArrowheads="1"/>
          </xdr:cNvSpPr>
        </xdr:nvSpPr>
        <xdr:spPr bwMode="auto">
          <a:xfrm>
            <a:off x="1374" y="3021"/>
            <a:ext cx="167"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Perkins</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299" name="Rectangle 107"/>
          <xdr:cNvSpPr>
            <a:spLocks noChangeArrowheads="1"/>
          </xdr:cNvSpPr>
        </xdr:nvSpPr>
        <xdr:spPr bwMode="auto">
          <a:xfrm>
            <a:off x="1394" y="3263"/>
            <a:ext cx="141"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Chase</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00" name="Rectangle 108"/>
          <xdr:cNvSpPr>
            <a:spLocks noChangeArrowheads="1"/>
          </xdr:cNvSpPr>
        </xdr:nvSpPr>
        <xdr:spPr bwMode="auto">
          <a:xfrm>
            <a:off x="1382" y="3484"/>
            <a:ext cx="148" cy="164"/>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Dundy</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01" name="Rectangle 109"/>
          <xdr:cNvSpPr>
            <a:spLocks noChangeArrowheads="1"/>
          </xdr:cNvSpPr>
        </xdr:nvSpPr>
        <xdr:spPr bwMode="auto">
          <a:xfrm>
            <a:off x="1658" y="3241"/>
            <a:ext cx="135"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Hayes</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02" name="Rectangle 110"/>
          <xdr:cNvSpPr>
            <a:spLocks noChangeArrowheads="1"/>
          </xdr:cNvSpPr>
        </xdr:nvSpPr>
        <xdr:spPr bwMode="auto">
          <a:xfrm>
            <a:off x="1626" y="3419"/>
            <a:ext cx="225"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Hitchcock</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03" name="Rectangle 111"/>
          <xdr:cNvSpPr>
            <a:spLocks noChangeArrowheads="1"/>
          </xdr:cNvSpPr>
        </xdr:nvSpPr>
        <xdr:spPr bwMode="auto">
          <a:xfrm>
            <a:off x="1902" y="3362"/>
            <a:ext cx="96"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Red </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04" name="Rectangle 112"/>
          <xdr:cNvSpPr>
            <a:spLocks noChangeArrowheads="1"/>
          </xdr:cNvSpPr>
        </xdr:nvSpPr>
        <xdr:spPr bwMode="auto">
          <a:xfrm>
            <a:off x="1870" y="3419"/>
            <a:ext cx="161"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Willow</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05" name="Rectangle 113"/>
          <xdr:cNvSpPr>
            <a:spLocks noChangeArrowheads="1"/>
          </xdr:cNvSpPr>
        </xdr:nvSpPr>
        <xdr:spPr bwMode="auto">
          <a:xfrm>
            <a:off x="1883" y="3205"/>
            <a:ext cx="186"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Frontier</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06" name="Rectangle 114"/>
          <xdr:cNvSpPr>
            <a:spLocks noChangeArrowheads="1"/>
          </xdr:cNvSpPr>
        </xdr:nvSpPr>
        <xdr:spPr bwMode="auto">
          <a:xfrm>
            <a:off x="2146" y="3246"/>
            <a:ext cx="174"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Gosper</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07" name="Rectangle 115"/>
          <xdr:cNvSpPr>
            <a:spLocks noChangeArrowheads="1"/>
          </xdr:cNvSpPr>
        </xdr:nvSpPr>
        <xdr:spPr bwMode="auto">
          <a:xfrm>
            <a:off x="2115" y="3432"/>
            <a:ext cx="154"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Furnas</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08" name="Rectangle 116"/>
          <xdr:cNvSpPr>
            <a:spLocks noChangeArrowheads="1"/>
          </xdr:cNvSpPr>
        </xdr:nvSpPr>
        <xdr:spPr bwMode="auto">
          <a:xfrm>
            <a:off x="2326" y="3296"/>
            <a:ext cx="154"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Phelps</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09" name="Rectangle 117"/>
          <xdr:cNvSpPr>
            <a:spLocks noChangeArrowheads="1"/>
          </xdr:cNvSpPr>
        </xdr:nvSpPr>
        <xdr:spPr bwMode="auto">
          <a:xfrm>
            <a:off x="2301" y="3538"/>
            <a:ext cx="141"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Harlan</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10" name="Rectangle 118"/>
          <xdr:cNvSpPr>
            <a:spLocks noChangeArrowheads="1"/>
          </xdr:cNvSpPr>
        </xdr:nvSpPr>
        <xdr:spPr bwMode="auto">
          <a:xfrm>
            <a:off x="2481" y="3310"/>
            <a:ext cx="180"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Kearney</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11" name="Rectangle 119"/>
          <xdr:cNvSpPr>
            <a:spLocks noChangeArrowheads="1"/>
          </xdr:cNvSpPr>
        </xdr:nvSpPr>
        <xdr:spPr bwMode="auto">
          <a:xfrm>
            <a:off x="2686" y="3245"/>
            <a:ext cx="161"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Adams</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12" name="Rectangle 120"/>
          <xdr:cNvSpPr>
            <a:spLocks noChangeArrowheads="1"/>
          </xdr:cNvSpPr>
        </xdr:nvSpPr>
        <xdr:spPr bwMode="auto">
          <a:xfrm>
            <a:off x="2924" y="3244"/>
            <a:ext cx="103"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Clay</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13" name="Rectangle 121"/>
          <xdr:cNvSpPr>
            <a:spLocks noChangeArrowheads="1"/>
          </xdr:cNvSpPr>
        </xdr:nvSpPr>
        <xdr:spPr bwMode="auto">
          <a:xfrm>
            <a:off x="3053" y="3243"/>
            <a:ext cx="186"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Fillmore</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14" name="Rectangle 122"/>
          <xdr:cNvSpPr>
            <a:spLocks noChangeArrowheads="1"/>
          </xdr:cNvSpPr>
        </xdr:nvSpPr>
        <xdr:spPr bwMode="auto">
          <a:xfrm>
            <a:off x="3246" y="3221"/>
            <a:ext cx="135"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Saline</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15" name="Rectangle 123"/>
          <xdr:cNvSpPr>
            <a:spLocks noChangeArrowheads="1"/>
          </xdr:cNvSpPr>
        </xdr:nvSpPr>
        <xdr:spPr bwMode="auto">
          <a:xfrm>
            <a:off x="2674" y="3551"/>
            <a:ext cx="199"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Webster</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16" name="Rectangle 124"/>
          <xdr:cNvSpPr>
            <a:spLocks noChangeArrowheads="1"/>
          </xdr:cNvSpPr>
        </xdr:nvSpPr>
        <xdr:spPr bwMode="auto">
          <a:xfrm>
            <a:off x="2880" y="3551"/>
            <a:ext cx="199"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Nuckolls</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17" name="Rectangle 125"/>
          <xdr:cNvSpPr>
            <a:spLocks noChangeArrowheads="1"/>
          </xdr:cNvSpPr>
        </xdr:nvSpPr>
        <xdr:spPr bwMode="auto">
          <a:xfrm>
            <a:off x="3073" y="3550"/>
            <a:ext cx="154"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Thayer</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18" name="Rectangle 126"/>
          <xdr:cNvSpPr>
            <a:spLocks noChangeArrowheads="1"/>
          </xdr:cNvSpPr>
        </xdr:nvSpPr>
        <xdr:spPr bwMode="auto">
          <a:xfrm>
            <a:off x="3227" y="3528"/>
            <a:ext cx="219"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Jefferson</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19" name="Rectangle 127"/>
          <xdr:cNvSpPr>
            <a:spLocks noChangeArrowheads="1"/>
          </xdr:cNvSpPr>
        </xdr:nvSpPr>
        <xdr:spPr bwMode="auto">
          <a:xfrm>
            <a:off x="3362" y="3499"/>
            <a:ext cx="122"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Gage</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20" name="Rectangle 128"/>
          <xdr:cNvSpPr>
            <a:spLocks noChangeArrowheads="1"/>
          </xdr:cNvSpPr>
        </xdr:nvSpPr>
        <xdr:spPr bwMode="auto">
          <a:xfrm>
            <a:off x="3652" y="3441"/>
            <a:ext cx="174"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Pawnee</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21" name="Rectangle 129"/>
          <xdr:cNvSpPr>
            <a:spLocks noChangeArrowheads="1"/>
          </xdr:cNvSpPr>
        </xdr:nvSpPr>
        <xdr:spPr bwMode="auto">
          <a:xfrm>
            <a:off x="3832" y="3447"/>
            <a:ext cx="264"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Richardson</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22" name="Rectangle 130"/>
          <xdr:cNvSpPr>
            <a:spLocks noChangeArrowheads="1"/>
          </xdr:cNvSpPr>
        </xdr:nvSpPr>
        <xdr:spPr bwMode="auto">
          <a:xfrm>
            <a:off x="3619" y="3241"/>
            <a:ext cx="193"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Johnson</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23" name="Rectangle 131"/>
          <xdr:cNvSpPr>
            <a:spLocks noChangeArrowheads="1"/>
          </xdr:cNvSpPr>
        </xdr:nvSpPr>
        <xdr:spPr bwMode="auto">
          <a:xfrm>
            <a:off x="3825" y="3326"/>
            <a:ext cx="180"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Nemaha</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24" name="Rectangle 132"/>
          <xdr:cNvSpPr>
            <a:spLocks noChangeArrowheads="1"/>
          </xdr:cNvSpPr>
        </xdr:nvSpPr>
        <xdr:spPr bwMode="auto">
          <a:xfrm>
            <a:off x="1760" y="3027"/>
            <a:ext cx="161"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Lincoln</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25" name="Rectangle 133"/>
          <xdr:cNvSpPr>
            <a:spLocks noChangeArrowheads="1"/>
          </xdr:cNvSpPr>
        </xdr:nvSpPr>
        <xdr:spPr bwMode="auto">
          <a:xfrm>
            <a:off x="2120" y="3033"/>
            <a:ext cx="186"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Dawson</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26" name="Rectangle 134"/>
          <xdr:cNvSpPr>
            <a:spLocks noChangeArrowheads="1"/>
          </xdr:cNvSpPr>
        </xdr:nvSpPr>
        <xdr:spPr bwMode="auto">
          <a:xfrm>
            <a:off x="2184" y="2762"/>
            <a:ext cx="154"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Custer</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27" name="Rectangle 135"/>
          <xdr:cNvSpPr>
            <a:spLocks noChangeArrowheads="1"/>
          </xdr:cNvSpPr>
        </xdr:nvSpPr>
        <xdr:spPr bwMode="auto">
          <a:xfrm>
            <a:off x="2435" y="3139"/>
            <a:ext cx="174"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Buffalo</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28" name="Rectangle 136"/>
          <xdr:cNvSpPr>
            <a:spLocks noChangeArrowheads="1"/>
          </xdr:cNvSpPr>
        </xdr:nvSpPr>
        <xdr:spPr bwMode="auto">
          <a:xfrm>
            <a:off x="2460" y="2882"/>
            <a:ext cx="193"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Sherman</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29" name="Rectangle 137"/>
          <xdr:cNvSpPr>
            <a:spLocks noChangeArrowheads="1"/>
          </xdr:cNvSpPr>
        </xdr:nvSpPr>
        <xdr:spPr bwMode="auto">
          <a:xfrm>
            <a:off x="2673" y="2874"/>
            <a:ext cx="180"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Howard</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30" name="Rectangle 138"/>
          <xdr:cNvSpPr>
            <a:spLocks noChangeArrowheads="1"/>
          </xdr:cNvSpPr>
        </xdr:nvSpPr>
        <xdr:spPr bwMode="auto">
          <a:xfrm>
            <a:off x="2731" y="3145"/>
            <a:ext cx="84"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Hall</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31" name="Rectangle 139"/>
          <xdr:cNvSpPr>
            <a:spLocks noChangeArrowheads="1"/>
          </xdr:cNvSpPr>
        </xdr:nvSpPr>
        <xdr:spPr bwMode="auto">
          <a:xfrm>
            <a:off x="2873" y="3137"/>
            <a:ext cx="199"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Hamilton</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32" name="Rectangle 140"/>
          <xdr:cNvSpPr>
            <a:spLocks noChangeArrowheads="1"/>
          </xdr:cNvSpPr>
        </xdr:nvSpPr>
        <xdr:spPr bwMode="auto">
          <a:xfrm>
            <a:off x="2891" y="2880"/>
            <a:ext cx="180"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Merrick</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33" name="Rectangle 141"/>
          <xdr:cNvSpPr>
            <a:spLocks noChangeArrowheads="1"/>
          </xdr:cNvSpPr>
        </xdr:nvSpPr>
        <xdr:spPr bwMode="auto">
          <a:xfrm>
            <a:off x="2588" y="2618"/>
            <a:ext cx="141"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Valley</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34" name="Rectangle 142"/>
          <xdr:cNvSpPr>
            <a:spLocks noChangeArrowheads="1"/>
          </xdr:cNvSpPr>
        </xdr:nvSpPr>
        <xdr:spPr bwMode="auto">
          <a:xfrm>
            <a:off x="2768" y="2617"/>
            <a:ext cx="174"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Greeley</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35" name="Rectangle 143"/>
          <xdr:cNvSpPr>
            <a:spLocks noChangeArrowheads="1"/>
          </xdr:cNvSpPr>
        </xdr:nvSpPr>
        <xdr:spPr bwMode="auto">
          <a:xfrm>
            <a:off x="2949" y="2752"/>
            <a:ext cx="141"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Nance</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36" name="Rectangle 144"/>
          <xdr:cNvSpPr>
            <a:spLocks noChangeArrowheads="1"/>
          </xdr:cNvSpPr>
        </xdr:nvSpPr>
        <xdr:spPr bwMode="auto">
          <a:xfrm>
            <a:off x="3000" y="2566"/>
            <a:ext cx="154"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Boone</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37" name="Rectangle 145"/>
          <xdr:cNvSpPr>
            <a:spLocks noChangeArrowheads="1"/>
          </xdr:cNvSpPr>
        </xdr:nvSpPr>
        <xdr:spPr bwMode="auto">
          <a:xfrm>
            <a:off x="3193" y="2701"/>
            <a:ext cx="135"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Platte</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38" name="Rectangle 146"/>
          <xdr:cNvSpPr>
            <a:spLocks noChangeArrowheads="1"/>
          </xdr:cNvSpPr>
        </xdr:nvSpPr>
        <xdr:spPr bwMode="auto">
          <a:xfrm>
            <a:off x="3097" y="2944"/>
            <a:ext cx="103"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Polk</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39" name="Rectangle 147"/>
          <xdr:cNvSpPr>
            <a:spLocks noChangeArrowheads="1"/>
          </xdr:cNvSpPr>
        </xdr:nvSpPr>
        <xdr:spPr bwMode="auto">
          <a:xfrm>
            <a:off x="3251" y="2915"/>
            <a:ext cx="141"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Butler</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40" name="Rectangle 148"/>
          <xdr:cNvSpPr>
            <a:spLocks noChangeArrowheads="1"/>
          </xdr:cNvSpPr>
        </xdr:nvSpPr>
        <xdr:spPr bwMode="auto">
          <a:xfrm>
            <a:off x="3072" y="3087"/>
            <a:ext cx="116"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York</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41" name="Rectangle 149"/>
          <xdr:cNvSpPr>
            <a:spLocks noChangeArrowheads="1"/>
          </xdr:cNvSpPr>
        </xdr:nvSpPr>
        <xdr:spPr bwMode="auto">
          <a:xfrm>
            <a:off x="3233" y="3107"/>
            <a:ext cx="174"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Seward</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42" name="Rectangle 150"/>
          <xdr:cNvSpPr>
            <a:spLocks noChangeArrowheads="1"/>
          </xdr:cNvSpPr>
        </xdr:nvSpPr>
        <xdr:spPr bwMode="auto">
          <a:xfrm>
            <a:off x="2245" y="1713"/>
            <a:ext cx="232"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Keya Paha</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43" name="Rectangle 151"/>
          <xdr:cNvSpPr>
            <a:spLocks noChangeArrowheads="1"/>
          </xdr:cNvSpPr>
        </xdr:nvSpPr>
        <xdr:spPr bwMode="auto">
          <a:xfrm>
            <a:off x="2220" y="1963"/>
            <a:ext cx="154"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Brown</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44" name="Rectangle 152"/>
          <xdr:cNvSpPr>
            <a:spLocks noChangeArrowheads="1"/>
          </xdr:cNvSpPr>
        </xdr:nvSpPr>
        <xdr:spPr bwMode="auto">
          <a:xfrm>
            <a:off x="2413" y="2083"/>
            <a:ext cx="122"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Rock</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45" name="Rectangle 153"/>
          <xdr:cNvSpPr>
            <a:spLocks noChangeArrowheads="1"/>
          </xdr:cNvSpPr>
        </xdr:nvSpPr>
        <xdr:spPr bwMode="auto">
          <a:xfrm>
            <a:off x="2716" y="2239"/>
            <a:ext cx="96"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Holt</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46" name="Rectangle 154"/>
          <xdr:cNvSpPr>
            <a:spLocks noChangeArrowheads="1"/>
          </xdr:cNvSpPr>
        </xdr:nvSpPr>
        <xdr:spPr bwMode="auto">
          <a:xfrm>
            <a:off x="2728" y="1804"/>
            <a:ext cx="129"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Boyd</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47" name="Rectangle 155"/>
          <xdr:cNvSpPr>
            <a:spLocks noChangeArrowheads="1"/>
          </xdr:cNvSpPr>
        </xdr:nvSpPr>
        <xdr:spPr bwMode="auto">
          <a:xfrm>
            <a:off x="3082" y="2010"/>
            <a:ext cx="116"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Knox</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48" name="Rectangle 156"/>
          <xdr:cNvSpPr>
            <a:spLocks noChangeArrowheads="1"/>
          </xdr:cNvSpPr>
        </xdr:nvSpPr>
        <xdr:spPr bwMode="auto">
          <a:xfrm>
            <a:off x="2967" y="2267"/>
            <a:ext cx="212"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Antelope</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49" name="Rectangle 157"/>
          <xdr:cNvSpPr>
            <a:spLocks noChangeArrowheads="1"/>
          </xdr:cNvSpPr>
        </xdr:nvSpPr>
        <xdr:spPr bwMode="auto">
          <a:xfrm>
            <a:off x="3179" y="2288"/>
            <a:ext cx="141"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Pierce</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50" name="Rectangle 158"/>
          <xdr:cNvSpPr>
            <a:spLocks noChangeArrowheads="1"/>
          </xdr:cNvSpPr>
        </xdr:nvSpPr>
        <xdr:spPr bwMode="auto">
          <a:xfrm>
            <a:off x="3147" y="2459"/>
            <a:ext cx="206"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Madison</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51" name="Rectangle 159"/>
          <xdr:cNvSpPr>
            <a:spLocks noChangeArrowheads="1"/>
          </xdr:cNvSpPr>
        </xdr:nvSpPr>
        <xdr:spPr bwMode="auto">
          <a:xfrm>
            <a:off x="3378" y="2265"/>
            <a:ext cx="154"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Wayne</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52" name="Rectangle 160"/>
          <xdr:cNvSpPr>
            <a:spLocks noChangeArrowheads="1"/>
          </xdr:cNvSpPr>
        </xdr:nvSpPr>
        <xdr:spPr bwMode="auto">
          <a:xfrm>
            <a:off x="3321" y="2430"/>
            <a:ext cx="180"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Stanton</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53" name="Rectangle 161"/>
          <xdr:cNvSpPr>
            <a:spLocks noChangeArrowheads="1"/>
          </xdr:cNvSpPr>
        </xdr:nvSpPr>
        <xdr:spPr bwMode="auto">
          <a:xfrm>
            <a:off x="3507" y="2365"/>
            <a:ext cx="174"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Cuming</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54" name="Rectangle 162"/>
          <xdr:cNvSpPr>
            <a:spLocks noChangeArrowheads="1"/>
          </xdr:cNvSpPr>
        </xdr:nvSpPr>
        <xdr:spPr bwMode="auto">
          <a:xfrm>
            <a:off x="3700" y="2393"/>
            <a:ext cx="103"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Burt</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55" name="Rectangle 163"/>
          <xdr:cNvSpPr>
            <a:spLocks noChangeArrowheads="1"/>
          </xdr:cNvSpPr>
        </xdr:nvSpPr>
        <xdr:spPr bwMode="auto">
          <a:xfrm>
            <a:off x="3332" y="1952"/>
            <a:ext cx="141"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Cedar</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56" name="Rectangle 164"/>
          <xdr:cNvSpPr>
            <a:spLocks noChangeArrowheads="1"/>
          </xdr:cNvSpPr>
        </xdr:nvSpPr>
        <xdr:spPr bwMode="auto">
          <a:xfrm>
            <a:off x="3480" y="1937"/>
            <a:ext cx="135"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Dixon</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57" name="Rectangle 165"/>
          <xdr:cNvSpPr>
            <a:spLocks noChangeArrowheads="1"/>
          </xdr:cNvSpPr>
        </xdr:nvSpPr>
        <xdr:spPr bwMode="auto">
          <a:xfrm>
            <a:off x="3616" y="2079"/>
            <a:ext cx="167"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Dakota</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58" name="Rectangle 166"/>
          <xdr:cNvSpPr>
            <a:spLocks noChangeArrowheads="1"/>
          </xdr:cNvSpPr>
        </xdr:nvSpPr>
        <xdr:spPr bwMode="auto">
          <a:xfrm>
            <a:off x="3590" y="2158"/>
            <a:ext cx="206"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Thurston</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59" name="Rectangle 167"/>
          <xdr:cNvSpPr>
            <a:spLocks noChangeArrowheads="1"/>
          </xdr:cNvSpPr>
        </xdr:nvSpPr>
        <xdr:spPr bwMode="auto">
          <a:xfrm>
            <a:off x="3334" y="2665"/>
            <a:ext cx="154" cy="164"/>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Colfax</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60" name="Rectangle 168"/>
          <xdr:cNvSpPr>
            <a:spLocks noChangeArrowheads="1"/>
          </xdr:cNvSpPr>
        </xdr:nvSpPr>
        <xdr:spPr bwMode="auto">
          <a:xfrm>
            <a:off x="3559" y="2593"/>
            <a:ext cx="161"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Dodge</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61" name="Rectangle 169"/>
          <xdr:cNvSpPr>
            <a:spLocks noChangeArrowheads="1"/>
          </xdr:cNvSpPr>
        </xdr:nvSpPr>
        <xdr:spPr bwMode="auto">
          <a:xfrm>
            <a:off x="3733" y="2564"/>
            <a:ext cx="148"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Wash-</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62" name="Rectangle 170"/>
          <xdr:cNvSpPr>
            <a:spLocks noChangeArrowheads="1"/>
          </xdr:cNvSpPr>
        </xdr:nvSpPr>
        <xdr:spPr bwMode="auto">
          <a:xfrm>
            <a:off x="3759" y="2614"/>
            <a:ext cx="148"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ington</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63" name="Rectangle 171"/>
          <xdr:cNvSpPr>
            <a:spLocks noChangeArrowheads="1"/>
          </xdr:cNvSpPr>
        </xdr:nvSpPr>
        <xdr:spPr bwMode="auto">
          <a:xfrm>
            <a:off x="3540" y="2743"/>
            <a:ext cx="193"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Douglas</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64" name="Rectangle 172"/>
          <xdr:cNvSpPr>
            <a:spLocks noChangeArrowheads="1"/>
          </xdr:cNvSpPr>
        </xdr:nvSpPr>
        <xdr:spPr bwMode="auto">
          <a:xfrm>
            <a:off x="3431" y="2807"/>
            <a:ext cx="212"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Saunders</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65" name="Rectangle 173"/>
          <xdr:cNvSpPr>
            <a:spLocks noChangeArrowheads="1"/>
          </xdr:cNvSpPr>
        </xdr:nvSpPr>
        <xdr:spPr bwMode="auto">
          <a:xfrm>
            <a:off x="3715" y="2963"/>
            <a:ext cx="116"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Cass</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66" name="Rectangle 174"/>
          <xdr:cNvSpPr>
            <a:spLocks noChangeArrowheads="1"/>
          </xdr:cNvSpPr>
        </xdr:nvSpPr>
        <xdr:spPr bwMode="auto">
          <a:xfrm>
            <a:off x="3682" y="2842"/>
            <a:ext cx="135"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Sarpy</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67" name="Rectangle 175"/>
          <xdr:cNvSpPr>
            <a:spLocks noChangeArrowheads="1"/>
          </xdr:cNvSpPr>
        </xdr:nvSpPr>
        <xdr:spPr bwMode="auto">
          <a:xfrm>
            <a:off x="3702" y="3156"/>
            <a:ext cx="116"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Otoe</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68" name="Rectangle 176"/>
          <xdr:cNvSpPr>
            <a:spLocks noChangeArrowheads="1"/>
          </xdr:cNvSpPr>
        </xdr:nvSpPr>
        <xdr:spPr bwMode="auto">
          <a:xfrm>
            <a:off x="1495" y="2571"/>
            <a:ext cx="148"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Arthur</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69" name="Rectangle 177"/>
          <xdr:cNvSpPr>
            <a:spLocks noChangeArrowheads="1"/>
          </xdr:cNvSpPr>
        </xdr:nvSpPr>
        <xdr:spPr bwMode="auto">
          <a:xfrm>
            <a:off x="1714" y="2556"/>
            <a:ext cx="264"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McPherson</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70" name="Rectangle 178"/>
          <xdr:cNvSpPr>
            <a:spLocks noChangeArrowheads="1"/>
          </xdr:cNvSpPr>
        </xdr:nvSpPr>
        <xdr:spPr bwMode="auto">
          <a:xfrm>
            <a:off x="1990" y="2570"/>
            <a:ext cx="141"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Logan</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8371" name="Rectangle 179"/>
          <xdr:cNvSpPr>
            <a:spLocks noChangeArrowheads="1"/>
          </xdr:cNvSpPr>
        </xdr:nvSpPr>
        <xdr:spPr bwMode="auto">
          <a:xfrm>
            <a:off x="3406" y="3078"/>
            <a:ext cx="219" cy="157"/>
          </a:xfrm>
          <a:prstGeom prst="rect">
            <a:avLst/>
          </a:prstGeom>
          <a:noFill/>
          <a:ln w="9525">
            <a:noFill/>
            <a:miter lim="800000"/>
            <a:headEnd/>
            <a:tailEnd/>
          </a:ln>
        </xdr:spPr>
        <xdr:txBody>
          <a:bodyPr wrap="none" lIns="0" tIns="0" rIns="0" bIns="0" anchor="t" upright="1">
            <a:spAutoFit/>
          </a:bodyPr>
          <a:lstStyle/>
          <a:p>
            <a:pPr algn="l" rtl="0">
              <a:defRPr sz="1000"/>
            </a:pPr>
            <a:r>
              <a:rPr lang="en-US" sz="600" b="0" i="0" u="none" strike="noStrike" baseline="0">
                <a:solidFill>
                  <a:srgbClr val="000000"/>
                </a:solidFill>
                <a:latin typeface="Times New Roman"/>
                <a:cs typeface="Times New Roman"/>
              </a:rPr>
              <a:t>Lancaster</a:t>
            </a:r>
          </a:p>
          <a:p>
            <a:pPr algn="l" rtl="0">
              <a:defRPr sz="1000"/>
            </a:pPr>
            <a:endParaRPr lang="en-US" sz="600" b="0" i="0" u="none" strike="noStrike" baseline="0">
              <a:solidFill>
                <a:srgbClr val="000000"/>
              </a:solidFill>
              <a:latin typeface="Times New Roman"/>
              <a:cs typeface="Times New Roman"/>
            </a:endParaRPr>
          </a:p>
        </xdr:txBody>
      </xdr:sp>
      <xdr:sp macro="" textlink="">
        <xdr:nvSpPr>
          <xdr:cNvPr id="12489" name="Freeform 180"/>
          <xdr:cNvSpPr>
            <a:spLocks/>
          </xdr:cNvSpPr>
        </xdr:nvSpPr>
        <xdr:spPr bwMode="auto">
          <a:xfrm>
            <a:off x="1432" y="1771"/>
            <a:ext cx="45" cy="1260"/>
          </a:xfrm>
          <a:custGeom>
            <a:avLst/>
            <a:gdLst>
              <a:gd name="T0" fmla="*/ 0 w 112"/>
              <a:gd name="T1" fmla="*/ 1 h 2854"/>
              <a:gd name="T2" fmla="*/ 0 w 112"/>
              <a:gd name="T3" fmla="*/ 1 h 2854"/>
              <a:gd name="T4" fmla="*/ 0 w 112"/>
              <a:gd name="T5" fmla="*/ 1 h 2854"/>
              <a:gd name="T6" fmla="*/ 0 w 112"/>
              <a:gd name="T7" fmla="*/ 0 h 2854"/>
              <a:gd name="T8" fmla="*/ 0 w 112"/>
              <a:gd name="T9" fmla="*/ 0 h 2854"/>
              <a:gd name="T10" fmla="*/ 0 w 112"/>
              <a:gd name="T11" fmla="*/ 0 h 2854"/>
              <a:gd name="T12" fmla="*/ 0 w 112"/>
              <a:gd name="T13" fmla="*/ 0 h 2854"/>
              <a:gd name="T14" fmla="*/ 0 w 112"/>
              <a:gd name="T15" fmla="*/ 0 h 2854"/>
              <a:gd name="T16" fmla="*/ 0 w 112"/>
              <a:gd name="T17" fmla="*/ 0 h 2854"/>
              <a:gd name="T18" fmla="*/ 0 w 112"/>
              <a:gd name="T19" fmla="*/ 0 h 2854"/>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 name="T30" fmla="*/ 0 w 112"/>
              <a:gd name="T31" fmla="*/ 0 h 2854"/>
              <a:gd name="T32" fmla="*/ 112 w 112"/>
              <a:gd name="T33" fmla="*/ 2854 h 2854"/>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T30" t="T31" r="T32" b="T33"/>
            <a:pathLst>
              <a:path w="112" h="2854">
                <a:moveTo>
                  <a:pt x="4" y="2854"/>
                </a:moveTo>
                <a:lnTo>
                  <a:pt x="0" y="2282"/>
                </a:lnTo>
                <a:lnTo>
                  <a:pt x="112" y="2278"/>
                </a:lnTo>
                <a:lnTo>
                  <a:pt x="112" y="1761"/>
                </a:lnTo>
                <a:lnTo>
                  <a:pt x="74" y="1761"/>
                </a:lnTo>
                <a:lnTo>
                  <a:pt x="74" y="1409"/>
                </a:lnTo>
                <a:lnTo>
                  <a:pt x="106" y="1409"/>
                </a:lnTo>
                <a:lnTo>
                  <a:pt x="106" y="1234"/>
                </a:lnTo>
                <a:lnTo>
                  <a:pt x="79" y="1234"/>
                </a:lnTo>
                <a:lnTo>
                  <a:pt x="66" y="0"/>
                </a:lnTo>
              </a:path>
            </a:pathLst>
          </a:custGeom>
          <a:noFill/>
          <a:ln w="0">
            <a:solidFill>
              <a:srgbClr val="FF0000"/>
            </a:solidFill>
            <a:prstDash val="solid"/>
            <a:round/>
            <a:headEnd/>
            <a:tailEnd/>
          </a:ln>
        </xdr:spPr>
      </xdr:sp>
      <xdr:sp macro="" textlink="">
        <xdr:nvSpPr>
          <xdr:cNvPr id="12490" name="Line 181"/>
          <xdr:cNvSpPr>
            <a:spLocks noChangeShapeType="1"/>
          </xdr:cNvSpPr>
        </xdr:nvSpPr>
        <xdr:spPr bwMode="auto">
          <a:xfrm>
            <a:off x="2384" y="3238"/>
            <a:ext cx="1" cy="398"/>
          </a:xfrm>
          <a:prstGeom prst="line">
            <a:avLst/>
          </a:prstGeom>
          <a:noFill/>
          <a:ln w="0">
            <a:solidFill>
              <a:srgbClr val="000000"/>
            </a:solidFill>
            <a:round/>
            <a:headEnd/>
            <a:tailEnd/>
          </a:ln>
        </xdr:spPr>
      </xdr:sp>
      <xdr:sp macro="" textlink="">
        <xdr:nvSpPr>
          <xdr:cNvPr id="12491" name="Freeform 182"/>
          <xdr:cNvSpPr>
            <a:spLocks/>
          </xdr:cNvSpPr>
        </xdr:nvSpPr>
        <xdr:spPr bwMode="auto">
          <a:xfrm>
            <a:off x="2371" y="3222"/>
            <a:ext cx="374" cy="53"/>
          </a:xfrm>
          <a:custGeom>
            <a:avLst/>
            <a:gdLst>
              <a:gd name="T0" fmla="*/ 0 w 914"/>
              <a:gd name="T1" fmla="*/ 0 h 120"/>
              <a:gd name="T2" fmla="*/ 0 w 914"/>
              <a:gd name="T3" fmla="*/ 0 h 120"/>
              <a:gd name="T4" fmla="*/ 0 w 914"/>
              <a:gd name="T5" fmla="*/ 0 h 120"/>
              <a:gd name="T6" fmla="*/ 0 w 914"/>
              <a:gd name="T7" fmla="*/ 0 h 120"/>
              <a:gd name="T8" fmla="*/ 0 w 914"/>
              <a:gd name="T9" fmla="*/ 0 h 120"/>
              <a:gd name="T10" fmla="*/ 0 w 914"/>
              <a:gd name="T11" fmla="*/ 0 h 120"/>
              <a:gd name="T12" fmla="*/ 0 w 914"/>
              <a:gd name="T13" fmla="*/ 0 h 120"/>
              <a:gd name="T14" fmla="*/ 0 w 914"/>
              <a:gd name="T15" fmla="*/ 0 h 120"/>
              <a:gd name="T16" fmla="*/ 0 w 914"/>
              <a:gd name="T17" fmla="*/ 0 h 120"/>
              <a:gd name="T18" fmla="*/ 0 w 914"/>
              <a:gd name="T19" fmla="*/ 0 h 120"/>
              <a:gd name="T20" fmla="*/ 0 w 914"/>
              <a:gd name="T21" fmla="*/ 0 h 120"/>
              <a:gd name="T22" fmla="*/ 0 w 914"/>
              <a:gd name="T23" fmla="*/ 0 h 120"/>
              <a:gd name="T24" fmla="*/ 0 w 914"/>
              <a:gd name="T25" fmla="*/ 0 h 120"/>
              <a:gd name="T26" fmla="*/ 0 w 914"/>
              <a:gd name="T27" fmla="*/ 0 h 120"/>
              <a:gd name="T28" fmla="*/ 0 w 914"/>
              <a:gd name="T29" fmla="*/ 0 h 120"/>
              <a:gd name="T30" fmla="*/ 0 w 914"/>
              <a:gd name="T31" fmla="*/ 0 h 120"/>
              <a:gd name="T32" fmla="*/ 0 w 914"/>
              <a:gd name="T33" fmla="*/ 0 h 120"/>
              <a:gd name="T34" fmla="*/ 0 w 914"/>
              <a:gd name="T35" fmla="*/ 0 h 120"/>
              <a:gd name="T36" fmla="*/ 0 w 914"/>
              <a:gd name="T37" fmla="*/ 0 h 120"/>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914"/>
              <a:gd name="T58" fmla="*/ 0 h 120"/>
              <a:gd name="T59" fmla="*/ 914 w 914"/>
              <a:gd name="T60" fmla="*/ 120 h 120"/>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914" h="120">
                <a:moveTo>
                  <a:pt x="0" y="19"/>
                </a:moveTo>
                <a:lnTo>
                  <a:pt x="54" y="49"/>
                </a:lnTo>
                <a:lnTo>
                  <a:pt x="108" y="56"/>
                </a:lnTo>
                <a:lnTo>
                  <a:pt x="145" y="64"/>
                </a:lnTo>
                <a:lnTo>
                  <a:pt x="207" y="73"/>
                </a:lnTo>
                <a:lnTo>
                  <a:pt x="247" y="89"/>
                </a:lnTo>
                <a:lnTo>
                  <a:pt x="301" y="104"/>
                </a:lnTo>
                <a:lnTo>
                  <a:pt x="352" y="113"/>
                </a:lnTo>
                <a:lnTo>
                  <a:pt x="408" y="120"/>
                </a:lnTo>
                <a:lnTo>
                  <a:pt x="461" y="120"/>
                </a:lnTo>
                <a:lnTo>
                  <a:pt x="516" y="120"/>
                </a:lnTo>
                <a:lnTo>
                  <a:pt x="569" y="113"/>
                </a:lnTo>
                <a:lnTo>
                  <a:pt x="614" y="99"/>
                </a:lnTo>
                <a:lnTo>
                  <a:pt x="670" y="99"/>
                </a:lnTo>
                <a:lnTo>
                  <a:pt x="713" y="73"/>
                </a:lnTo>
                <a:lnTo>
                  <a:pt x="763" y="49"/>
                </a:lnTo>
                <a:lnTo>
                  <a:pt x="810" y="25"/>
                </a:lnTo>
                <a:lnTo>
                  <a:pt x="861" y="9"/>
                </a:lnTo>
                <a:lnTo>
                  <a:pt x="914" y="0"/>
                </a:lnTo>
              </a:path>
            </a:pathLst>
          </a:custGeom>
          <a:noFill/>
          <a:ln w="0">
            <a:solidFill>
              <a:srgbClr val="000000"/>
            </a:solidFill>
            <a:prstDash val="solid"/>
            <a:round/>
            <a:headEnd/>
            <a:tailEnd/>
          </a:ln>
        </xdr:spPr>
      </xdr:sp>
      <xdr:sp macro="" textlink="">
        <xdr:nvSpPr>
          <xdr:cNvPr id="12492" name="Freeform 183"/>
          <xdr:cNvSpPr>
            <a:spLocks/>
          </xdr:cNvSpPr>
        </xdr:nvSpPr>
        <xdr:spPr bwMode="auto">
          <a:xfrm>
            <a:off x="663" y="1769"/>
            <a:ext cx="3539" cy="1867"/>
          </a:xfrm>
          <a:custGeom>
            <a:avLst/>
            <a:gdLst>
              <a:gd name="T0" fmla="*/ 1 w 8661"/>
              <a:gd name="T1" fmla="*/ 1 h 4227"/>
              <a:gd name="T2" fmla="*/ 0 w 8661"/>
              <a:gd name="T3" fmla="*/ 1 h 4227"/>
              <a:gd name="T4" fmla="*/ 0 w 8661"/>
              <a:gd name="T5" fmla="*/ 1 h 4227"/>
              <a:gd name="T6" fmla="*/ 0 w 8661"/>
              <a:gd name="T7" fmla="*/ 1 h 4227"/>
              <a:gd name="T8" fmla="*/ 0 w 8661"/>
              <a:gd name="T9" fmla="*/ 0 h 4227"/>
              <a:gd name="T10" fmla="*/ 1 w 8661"/>
              <a:gd name="T11" fmla="*/ 0 h 4227"/>
              <a:gd name="T12" fmla="*/ 0 60000 65536"/>
              <a:gd name="T13" fmla="*/ 0 60000 65536"/>
              <a:gd name="T14" fmla="*/ 0 60000 65536"/>
              <a:gd name="T15" fmla="*/ 0 60000 65536"/>
              <a:gd name="T16" fmla="*/ 0 60000 65536"/>
              <a:gd name="T17" fmla="*/ 0 60000 65536"/>
              <a:gd name="T18" fmla="*/ 0 w 8661"/>
              <a:gd name="T19" fmla="*/ 0 h 4227"/>
              <a:gd name="T20" fmla="*/ 8661 w 8661"/>
              <a:gd name="T21" fmla="*/ 4227 h 4227"/>
            </a:gdLst>
            <a:ahLst/>
            <a:cxnLst>
              <a:cxn ang="T12">
                <a:pos x="T0" y="T1"/>
              </a:cxn>
              <a:cxn ang="T13">
                <a:pos x="T2" y="T3"/>
              </a:cxn>
              <a:cxn ang="T14">
                <a:pos x="T4" y="T5"/>
              </a:cxn>
              <a:cxn ang="T15">
                <a:pos x="T6" y="T7"/>
              </a:cxn>
              <a:cxn ang="T16">
                <a:pos x="T8" y="T9"/>
              </a:cxn>
              <a:cxn ang="T17">
                <a:pos x="T10" y="T11"/>
              </a:cxn>
            </a:cxnLst>
            <a:rect l="T18" t="T19" r="T20" b="T21"/>
            <a:pathLst>
              <a:path w="8661" h="4227">
                <a:moveTo>
                  <a:pt x="8661" y="4227"/>
                </a:moveTo>
                <a:lnTo>
                  <a:pt x="1850" y="4227"/>
                </a:lnTo>
                <a:lnTo>
                  <a:pt x="1881" y="2862"/>
                </a:lnTo>
                <a:lnTo>
                  <a:pt x="0" y="2844"/>
                </a:lnTo>
                <a:lnTo>
                  <a:pt x="67" y="0"/>
                </a:lnTo>
                <a:lnTo>
                  <a:pt x="5383" y="0"/>
                </a:lnTo>
              </a:path>
            </a:pathLst>
          </a:custGeom>
          <a:noFill/>
          <a:ln w="14351">
            <a:solidFill>
              <a:srgbClr val="000000"/>
            </a:solidFill>
            <a:prstDash val="solid"/>
            <a:round/>
            <a:headEnd/>
            <a:tailEnd/>
          </a:ln>
        </xdr:spPr>
      </xdr:sp>
      <xdr:sp macro="" textlink="">
        <xdr:nvSpPr>
          <xdr:cNvPr id="12493" name="Freeform 184"/>
          <xdr:cNvSpPr>
            <a:spLocks/>
          </xdr:cNvSpPr>
        </xdr:nvSpPr>
        <xdr:spPr bwMode="auto">
          <a:xfrm>
            <a:off x="2850" y="1763"/>
            <a:ext cx="1346" cy="1867"/>
          </a:xfrm>
          <a:custGeom>
            <a:avLst/>
            <a:gdLst>
              <a:gd name="T0" fmla="*/ 0 w 3295"/>
              <a:gd name="T1" fmla="*/ 0 h 4227"/>
              <a:gd name="T2" fmla="*/ 0 w 3295"/>
              <a:gd name="T3" fmla="*/ 0 h 4227"/>
              <a:gd name="T4" fmla="*/ 0 w 3295"/>
              <a:gd name="T5" fmla="*/ 0 h 4227"/>
              <a:gd name="T6" fmla="*/ 0 w 3295"/>
              <a:gd name="T7" fmla="*/ 0 h 4227"/>
              <a:gd name="T8" fmla="*/ 0 w 3295"/>
              <a:gd name="T9" fmla="*/ 0 h 4227"/>
              <a:gd name="T10" fmla="*/ 0 w 3295"/>
              <a:gd name="T11" fmla="*/ 0 h 4227"/>
              <a:gd name="T12" fmla="*/ 0 w 3295"/>
              <a:gd name="T13" fmla="*/ 0 h 4227"/>
              <a:gd name="T14" fmla="*/ 0 w 3295"/>
              <a:gd name="T15" fmla="*/ 0 h 4227"/>
              <a:gd name="T16" fmla="*/ 0 w 3295"/>
              <a:gd name="T17" fmla="*/ 0 h 4227"/>
              <a:gd name="T18" fmla="*/ 0 w 3295"/>
              <a:gd name="T19" fmla="*/ 0 h 4227"/>
              <a:gd name="T20" fmla="*/ 0 w 3295"/>
              <a:gd name="T21" fmla="*/ 0 h 4227"/>
              <a:gd name="T22" fmla="*/ 0 w 3295"/>
              <a:gd name="T23" fmla="*/ 0 h 4227"/>
              <a:gd name="T24" fmla="*/ 0 w 3295"/>
              <a:gd name="T25" fmla="*/ 0 h 4227"/>
              <a:gd name="T26" fmla="*/ 0 w 3295"/>
              <a:gd name="T27" fmla="*/ 0 h 4227"/>
              <a:gd name="T28" fmla="*/ 0 w 3295"/>
              <a:gd name="T29" fmla="*/ 0 h 4227"/>
              <a:gd name="T30" fmla="*/ 0 w 3295"/>
              <a:gd name="T31" fmla="*/ 0 h 4227"/>
              <a:gd name="T32" fmla="*/ 0 w 3295"/>
              <a:gd name="T33" fmla="*/ 0 h 4227"/>
              <a:gd name="T34" fmla="*/ 0 w 3295"/>
              <a:gd name="T35" fmla="*/ 0 h 4227"/>
              <a:gd name="T36" fmla="*/ 0 w 3295"/>
              <a:gd name="T37" fmla="*/ 0 h 4227"/>
              <a:gd name="T38" fmla="*/ 0 w 3295"/>
              <a:gd name="T39" fmla="*/ 0 h 4227"/>
              <a:gd name="T40" fmla="*/ 0 w 3295"/>
              <a:gd name="T41" fmla="*/ 0 h 4227"/>
              <a:gd name="T42" fmla="*/ 0 w 3295"/>
              <a:gd name="T43" fmla="*/ 0 h 4227"/>
              <a:gd name="T44" fmla="*/ 0 w 3295"/>
              <a:gd name="T45" fmla="*/ 0 h 4227"/>
              <a:gd name="T46" fmla="*/ 0 w 3295"/>
              <a:gd name="T47" fmla="*/ 0 h 4227"/>
              <a:gd name="T48" fmla="*/ 0 w 3295"/>
              <a:gd name="T49" fmla="*/ 0 h 4227"/>
              <a:gd name="T50" fmla="*/ 0 w 3295"/>
              <a:gd name="T51" fmla="*/ 0 h 4227"/>
              <a:gd name="T52" fmla="*/ 0 w 3295"/>
              <a:gd name="T53" fmla="*/ 0 h 4227"/>
              <a:gd name="T54" fmla="*/ 0 w 3295"/>
              <a:gd name="T55" fmla="*/ 0 h 4227"/>
              <a:gd name="T56" fmla="*/ 0 w 3295"/>
              <a:gd name="T57" fmla="*/ 0 h 4227"/>
              <a:gd name="T58" fmla="*/ 0 w 3295"/>
              <a:gd name="T59" fmla="*/ 0 h 4227"/>
              <a:gd name="T60" fmla="*/ 0 w 3295"/>
              <a:gd name="T61" fmla="*/ 0 h 4227"/>
              <a:gd name="T62" fmla="*/ 0 w 3295"/>
              <a:gd name="T63" fmla="*/ 0 h 4227"/>
              <a:gd name="T64" fmla="*/ 0 w 3295"/>
              <a:gd name="T65" fmla="*/ 0 h 4227"/>
              <a:gd name="T66" fmla="*/ 0 w 3295"/>
              <a:gd name="T67" fmla="*/ 0 h 4227"/>
              <a:gd name="T68" fmla="*/ 0 w 3295"/>
              <a:gd name="T69" fmla="*/ 0 h 4227"/>
              <a:gd name="T70" fmla="*/ 0 w 3295"/>
              <a:gd name="T71" fmla="*/ 1 h 4227"/>
              <a:gd name="T72" fmla="*/ 0 w 3295"/>
              <a:gd name="T73" fmla="*/ 1 h 4227"/>
              <a:gd name="T74" fmla="*/ 0 w 3295"/>
              <a:gd name="T75" fmla="*/ 1 h 4227"/>
              <a:gd name="T76" fmla="*/ 0 w 3295"/>
              <a:gd name="T77" fmla="*/ 1 h 4227"/>
              <a:gd name="T78" fmla="*/ 0 w 3295"/>
              <a:gd name="T79" fmla="*/ 1 h 4227"/>
              <a:gd name="T80" fmla="*/ 0 w 3295"/>
              <a:gd name="T81" fmla="*/ 1 h 4227"/>
              <a:gd name="T82" fmla="*/ 0 w 3295"/>
              <a:gd name="T83" fmla="*/ 1 h 4227"/>
              <a:gd name="T84" fmla="*/ 0 w 3295"/>
              <a:gd name="T85" fmla="*/ 1 h 4227"/>
              <a:gd name="T86" fmla="*/ 0 w 3295"/>
              <a:gd name="T87" fmla="*/ 1 h 4227"/>
              <a:gd name="T88" fmla="*/ 0 w 3295"/>
              <a:gd name="T89" fmla="*/ 1 h 4227"/>
              <a:gd name="T90" fmla="*/ 0 w 3295"/>
              <a:gd name="T91" fmla="*/ 1 h 4227"/>
              <a:gd name="T92" fmla="*/ 0 w 3295"/>
              <a:gd name="T93" fmla="*/ 1 h 4227"/>
              <a:gd name="T94" fmla="*/ 0 w 3295"/>
              <a:gd name="T95" fmla="*/ 1 h 4227"/>
              <a:gd name="T96" fmla="*/ 0 w 3295"/>
              <a:gd name="T97" fmla="*/ 1 h 4227"/>
              <a:gd name="T98" fmla="*/ 0 w 3295"/>
              <a:gd name="T99" fmla="*/ 1 h 4227"/>
              <a:gd name="T100" fmla="*/ 0 w 3295"/>
              <a:gd name="T101" fmla="*/ 1 h 4227"/>
              <a:gd name="T102" fmla="*/ 0 w 3295"/>
              <a:gd name="T103" fmla="*/ 1 h 4227"/>
              <a:gd name="T104" fmla="*/ 0 w 3295"/>
              <a:gd name="T105" fmla="*/ 1 h 4227"/>
              <a:gd name="T106" fmla="*/ 0 w 3295"/>
              <a:gd name="T107" fmla="*/ 1 h 4227"/>
              <a:gd name="T108" fmla="*/ 0 w 3295"/>
              <a:gd name="T109" fmla="*/ 1 h 4227"/>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w 3295"/>
              <a:gd name="T166" fmla="*/ 0 h 4227"/>
              <a:gd name="T167" fmla="*/ 3295 w 3295"/>
              <a:gd name="T168" fmla="*/ 4227 h 4227"/>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T165" t="T166" r="T167" b="T168"/>
            <a:pathLst>
              <a:path w="3295" h="4227">
                <a:moveTo>
                  <a:pt x="0" y="0"/>
                </a:moveTo>
                <a:lnTo>
                  <a:pt x="53" y="109"/>
                </a:lnTo>
                <a:lnTo>
                  <a:pt x="156" y="161"/>
                </a:lnTo>
                <a:lnTo>
                  <a:pt x="281" y="198"/>
                </a:lnTo>
                <a:lnTo>
                  <a:pt x="383" y="251"/>
                </a:lnTo>
                <a:lnTo>
                  <a:pt x="505" y="287"/>
                </a:lnTo>
                <a:lnTo>
                  <a:pt x="625" y="287"/>
                </a:lnTo>
                <a:lnTo>
                  <a:pt x="733" y="217"/>
                </a:lnTo>
                <a:lnTo>
                  <a:pt x="839" y="272"/>
                </a:lnTo>
                <a:lnTo>
                  <a:pt x="960" y="272"/>
                </a:lnTo>
                <a:lnTo>
                  <a:pt x="1063" y="235"/>
                </a:lnTo>
                <a:lnTo>
                  <a:pt x="1187" y="217"/>
                </a:lnTo>
                <a:lnTo>
                  <a:pt x="1275" y="287"/>
                </a:lnTo>
                <a:lnTo>
                  <a:pt x="1361" y="362"/>
                </a:lnTo>
                <a:lnTo>
                  <a:pt x="1463" y="414"/>
                </a:lnTo>
                <a:lnTo>
                  <a:pt x="1569" y="396"/>
                </a:lnTo>
                <a:lnTo>
                  <a:pt x="1657" y="450"/>
                </a:lnTo>
                <a:lnTo>
                  <a:pt x="1762" y="504"/>
                </a:lnTo>
                <a:lnTo>
                  <a:pt x="1849" y="596"/>
                </a:lnTo>
                <a:lnTo>
                  <a:pt x="1899" y="703"/>
                </a:lnTo>
                <a:lnTo>
                  <a:pt x="2024" y="739"/>
                </a:lnTo>
                <a:lnTo>
                  <a:pt x="2089" y="846"/>
                </a:lnTo>
                <a:lnTo>
                  <a:pt x="2162" y="937"/>
                </a:lnTo>
                <a:lnTo>
                  <a:pt x="2246" y="1010"/>
                </a:lnTo>
                <a:lnTo>
                  <a:pt x="2246" y="1134"/>
                </a:lnTo>
                <a:lnTo>
                  <a:pt x="2213" y="1263"/>
                </a:lnTo>
                <a:lnTo>
                  <a:pt x="2229" y="1369"/>
                </a:lnTo>
                <a:lnTo>
                  <a:pt x="2337" y="1459"/>
                </a:lnTo>
                <a:lnTo>
                  <a:pt x="2372" y="1584"/>
                </a:lnTo>
                <a:lnTo>
                  <a:pt x="2421" y="1691"/>
                </a:lnTo>
                <a:lnTo>
                  <a:pt x="2457" y="1817"/>
                </a:lnTo>
                <a:lnTo>
                  <a:pt x="2439" y="1940"/>
                </a:lnTo>
                <a:lnTo>
                  <a:pt x="2543" y="1996"/>
                </a:lnTo>
                <a:lnTo>
                  <a:pt x="2473" y="2086"/>
                </a:lnTo>
                <a:lnTo>
                  <a:pt x="2492" y="2194"/>
                </a:lnTo>
                <a:lnTo>
                  <a:pt x="2579" y="2266"/>
                </a:lnTo>
                <a:lnTo>
                  <a:pt x="2597" y="2374"/>
                </a:lnTo>
                <a:lnTo>
                  <a:pt x="2684" y="2446"/>
                </a:lnTo>
                <a:lnTo>
                  <a:pt x="2649" y="2574"/>
                </a:lnTo>
                <a:lnTo>
                  <a:pt x="2649" y="2695"/>
                </a:lnTo>
                <a:lnTo>
                  <a:pt x="2633" y="2825"/>
                </a:lnTo>
                <a:lnTo>
                  <a:pt x="2684" y="2929"/>
                </a:lnTo>
                <a:lnTo>
                  <a:pt x="2703" y="3057"/>
                </a:lnTo>
                <a:lnTo>
                  <a:pt x="2649" y="3165"/>
                </a:lnTo>
                <a:lnTo>
                  <a:pt x="2649" y="3290"/>
                </a:lnTo>
                <a:lnTo>
                  <a:pt x="2737" y="3327"/>
                </a:lnTo>
                <a:lnTo>
                  <a:pt x="2807" y="3434"/>
                </a:lnTo>
                <a:lnTo>
                  <a:pt x="2856" y="3542"/>
                </a:lnTo>
                <a:lnTo>
                  <a:pt x="2911" y="3651"/>
                </a:lnTo>
                <a:lnTo>
                  <a:pt x="2930" y="3727"/>
                </a:lnTo>
                <a:lnTo>
                  <a:pt x="2977" y="3787"/>
                </a:lnTo>
                <a:lnTo>
                  <a:pt x="3044" y="3853"/>
                </a:lnTo>
                <a:lnTo>
                  <a:pt x="3087" y="3962"/>
                </a:lnTo>
                <a:lnTo>
                  <a:pt x="3174" y="4048"/>
                </a:lnTo>
                <a:lnTo>
                  <a:pt x="3295" y="4227"/>
                </a:lnTo>
              </a:path>
            </a:pathLst>
          </a:custGeom>
          <a:noFill/>
          <a:ln w="14351">
            <a:solidFill>
              <a:srgbClr val="000000"/>
            </a:solidFill>
            <a:prstDash val="solid"/>
            <a:round/>
            <a:headEnd/>
            <a:tailEnd/>
          </a:ln>
        </xdr:spPr>
      </xdr:sp>
      <xdr:sp macro="" textlink="">
        <xdr:nvSpPr>
          <xdr:cNvPr id="12494" name="Freeform 185"/>
          <xdr:cNvSpPr>
            <a:spLocks/>
          </xdr:cNvSpPr>
        </xdr:nvSpPr>
        <xdr:spPr bwMode="auto">
          <a:xfrm>
            <a:off x="2965" y="2840"/>
            <a:ext cx="219" cy="37"/>
          </a:xfrm>
          <a:custGeom>
            <a:avLst/>
            <a:gdLst>
              <a:gd name="T0" fmla="*/ 0 w 535"/>
              <a:gd name="T1" fmla="*/ 0 h 83"/>
              <a:gd name="T2" fmla="*/ 0 w 535"/>
              <a:gd name="T3" fmla="*/ 0 h 83"/>
              <a:gd name="T4" fmla="*/ 0 w 535"/>
              <a:gd name="T5" fmla="*/ 0 h 83"/>
              <a:gd name="T6" fmla="*/ 0 w 535"/>
              <a:gd name="T7" fmla="*/ 0 h 83"/>
              <a:gd name="T8" fmla="*/ 0 w 535"/>
              <a:gd name="T9" fmla="*/ 0 h 83"/>
              <a:gd name="T10" fmla="*/ 0 w 535"/>
              <a:gd name="T11" fmla="*/ 0 h 83"/>
              <a:gd name="T12" fmla="*/ 0 w 535"/>
              <a:gd name="T13" fmla="*/ 0 h 83"/>
              <a:gd name="T14" fmla="*/ 0 w 535"/>
              <a:gd name="T15" fmla="*/ 0 h 83"/>
              <a:gd name="T16" fmla="*/ 0 60000 65536"/>
              <a:gd name="T17" fmla="*/ 0 60000 65536"/>
              <a:gd name="T18" fmla="*/ 0 60000 65536"/>
              <a:gd name="T19" fmla="*/ 0 60000 65536"/>
              <a:gd name="T20" fmla="*/ 0 60000 65536"/>
              <a:gd name="T21" fmla="*/ 0 60000 65536"/>
              <a:gd name="T22" fmla="*/ 0 60000 65536"/>
              <a:gd name="T23" fmla="*/ 0 60000 65536"/>
              <a:gd name="T24" fmla="*/ 0 w 535"/>
              <a:gd name="T25" fmla="*/ 0 h 83"/>
              <a:gd name="T26" fmla="*/ 535 w 535"/>
              <a:gd name="T27" fmla="*/ 83 h 83"/>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535" h="83">
                <a:moveTo>
                  <a:pt x="0" y="83"/>
                </a:moveTo>
                <a:lnTo>
                  <a:pt x="118" y="83"/>
                </a:lnTo>
                <a:lnTo>
                  <a:pt x="118" y="53"/>
                </a:lnTo>
                <a:lnTo>
                  <a:pt x="232" y="53"/>
                </a:lnTo>
                <a:lnTo>
                  <a:pt x="232" y="33"/>
                </a:lnTo>
                <a:lnTo>
                  <a:pt x="387" y="33"/>
                </a:lnTo>
                <a:lnTo>
                  <a:pt x="387" y="0"/>
                </a:lnTo>
                <a:lnTo>
                  <a:pt x="535" y="0"/>
                </a:lnTo>
              </a:path>
            </a:pathLst>
          </a:custGeom>
          <a:noFill/>
          <a:ln w="0">
            <a:solidFill>
              <a:srgbClr val="000000"/>
            </a:solidFill>
            <a:prstDash val="solid"/>
            <a:round/>
            <a:headEnd/>
            <a:tailEnd/>
          </a:ln>
        </xdr:spPr>
      </xdr:sp>
      <xdr:sp macro="" textlink="">
        <xdr:nvSpPr>
          <xdr:cNvPr id="12495" name="Line 186"/>
          <xdr:cNvSpPr>
            <a:spLocks noChangeShapeType="1"/>
          </xdr:cNvSpPr>
        </xdr:nvSpPr>
        <xdr:spPr bwMode="auto">
          <a:xfrm>
            <a:off x="3291" y="1874"/>
            <a:ext cx="1" cy="243"/>
          </a:xfrm>
          <a:prstGeom prst="line">
            <a:avLst/>
          </a:prstGeom>
          <a:noFill/>
          <a:ln w="0">
            <a:solidFill>
              <a:srgbClr val="000000"/>
            </a:solidFill>
            <a:round/>
            <a:headEnd/>
            <a:tailEnd/>
          </a:ln>
        </xdr:spPr>
      </xdr:sp>
      <xdr:sp macro="" textlink="">
        <xdr:nvSpPr>
          <xdr:cNvPr id="8379" name="Rectangle 187"/>
          <xdr:cNvSpPr>
            <a:spLocks noChangeArrowheads="1"/>
          </xdr:cNvSpPr>
        </xdr:nvSpPr>
        <xdr:spPr bwMode="auto">
          <a:xfrm>
            <a:off x="786" y="1831"/>
            <a:ext cx="540" cy="342"/>
          </a:xfrm>
          <a:prstGeom prst="rect">
            <a:avLst/>
          </a:prstGeom>
          <a:noFill/>
          <a:ln w="9525">
            <a:noFill/>
            <a:miter lim="800000"/>
            <a:headEnd/>
            <a:tailEnd/>
          </a:ln>
        </xdr:spPr>
        <xdr:txBody>
          <a:bodyPr wrap="none" lIns="0" tIns="0" rIns="0" bIns="0" anchor="t" upright="1">
            <a:spAutoFit/>
          </a:bodyPr>
          <a:lstStyle/>
          <a:p>
            <a:pPr algn="l" rtl="0">
              <a:defRPr sz="1000"/>
            </a:pPr>
            <a:r>
              <a:rPr lang="en-US" sz="1400" b="0" i="0" u="none" strike="noStrike" baseline="0">
                <a:solidFill>
                  <a:srgbClr val="000000"/>
                </a:solidFill>
                <a:latin typeface="Arial"/>
                <a:cs typeface="Arial"/>
              </a:rPr>
              <a:t>Northwest</a:t>
            </a:r>
          </a:p>
          <a:p>
            <a:pPr algn="l" rtl="0">
              <a:defRPr sz="1000"/>
            </a:pPr>
            <a:endParaRPr lang="en-US" sz="1400" b="0" i="0" u="none" strike="noStrike" baseline="0">
              <a:solidFill>
                <a:srgbClr val="000000"/>
              </a:solidFill>
              <a:latin typeface="Arial"/>
              <a:cs typeface="Arial"/>
            </a:endParaRPr>
          </a:p>
        </xdr:txBody>
      </xdr:sp>
      <xdr:sp macro="" textlink="">
        <xdr:nvSpPr>
          <xdr:cNvPr id="8380" name="Rectangle 188"/>
          <xdr:cNvSpPr>
            <a:spLocks noChangeArrowheads="1"/>
          </xdr:cNvSpPr>
        </xdr:nvSpPr>
        <xdr:spPr bwMode="auto">
          <a:xfrm>
            <a:off x="1660" y="1779"/>
            <a:ext cx="289" cy="342"/>
          </a:xfrm>
          <a:prstGeom prst="rect">
            <a:avLst/>
          </a:prstGeom>
          <a:noFill/>
          <a:ln w="9525">
            <a:noFill/>
            <a:miter lim="800000"/>
            <a:headEnd/>
            <a:tailEnd/>
          </a:ln>
        </xdr:spPr>
        <xdr:txBody>
          <a:bodyPr wrap="none" lIns="0" tIns="0" rIns="0" bIns="0" anchor="t" upright="1">
            <a:spAutoFit/>
          </a:bodyPr>
          <a:lstStyle/>
          <a:p>
            <a:pPr algn="l" rtl="0">
              <a:defRPr sz="1000"/>
            </a:pPr>
            <a:r>
              <a:rPr lang="en-US" sz="1400" b="0" i="0" u="none" strike="noStrike" baseline="0">
                <a:solidFill>
                  <a:srgbClr val="000000"/>
                </a:solidFill>
                <a:latin typeface="Arial"/>
                <a:cs typeface="Arial"/>
              </a:rPr>
              <a:t>North</a:t>
            </a:r>
          </a:p>
          <a:p>
            <a:pPr algn="l" rtl="0">
              <a:defRPr sz="1000"/>
            </a:pPr>
            <a:endParaRPr lang="en-US" sz="1400" b="0" i="0" u="none" strike="noStrike" baseline="0">
              <a:solidFill>
                <a:srgbClr val="000000"/>
              </a:solidFill>
              <a:latin typeface="Arial"/>
              <a:cs typeface="Arial"/>
            </a:endParaRPr>
          </a:p>
        </xdr:txBody>
      </xdr:sp>
      <xdr:sp macro="" textlink="">
        <xdr:nvSpPr>
          <xdr:cNvPr id="8381" name="Rectangle 189"/>
          <xdr:cNvSpPr>
            <a:spLocks noChangeArrowheads="1"/>
          </xdr:cNvSpPr>
        </xdr:nvSpPr>
        <xdr:spPr bwMode="auto">
          <a:xfrm>
            <a:off x="1419" y="2799"/>
            <a:ext cx="566" cy="342"/>
          </a:xfrm>
          <a:prstGeom prst="rect">
            <a:avLst/>
          </a:prstGeom>
          <a:noFill/>
          <a:ln w="9525">
            <a:noFill/>
            <a:miter lim="800000"/>
            <a:headEnd/>
            <a:tailEnd/>
          </a:ln>
        </xdr:spPr>
        <xdr:txBody>
          <a:bodyPr wrap="none" lIns="0" tIns="0" rIns="0" bIns="0" anchor="t" upright="1">
            <a:spAutoFit/>
          </a:bodyPr>
          <a:lstStyle/>
          <a:p>
            <a:pPr algn="l" rtl="0">
              <a:defRPr sz="1000"/>
            </a:pPr>
            <a:r>
              <a:rPr lang="en-US" sz="1400" b="0" i="0" u="none" strike="noStrike" baseline="0">
                <a:solidFill>
                  <a:srgbClr val="000000"/>
                </a:solidFill>
                <a:latin typeface="Arial"/>
                <a:cs typeface="Arial"/>
              </a:rPr>
              <a:t>Southwest</a:t>
            </a:r>
          </a:p>
          <a:p>
            <a:pPr algn="l" rtl="0">
              <a:defRPr sz="1000"/>
            </a:pPr>
            <a:endParaRPr lang="en-US" sz="1400" b="0" i="0" u="none" strike="noStrike" baseline="0">
              <a:solidFill>
                <a:srgbClr val="000000"/>
              </a:solidFill>
              <a:latin typeface="Arial"/>
              <a:cs typeface="Arial"/>
            </a:endParaRPr>
          </a:p>
        </xdr:txBody>
      </xdr:sp>
      <xdr:sp macro="" textlink="">
        <xdr:nvSpPr>
          <xdr:cNvPr id="8382" name="Rectangle 190"/>
          <xdr:cNvSpPr>
            <a:spLocks noChangeArrowheads="1"/>
          </xdr:cNvSpPr>
        </xdr:nvSpPr>
        <xdr:spPr bwMode="auto">
          <a:xfrm>
            <a:off x="2209" y="2704"/>
            <a:ext cx="386" cy="357"/>
          </a:xfrm>
          <a:prstGeom prst="rect">
            <a:avLst/>
          </a:prstGeom>
          <a:noFill/>
          <a:ln w="9525">
            <a:noFill/>
            <a:miter lim="800000"/>
            <a:headEnd/>
            <a:tailEnd/>
          </a:ln>
        </xdr:spPr>
        <xdr:txBody>
          <a:bodyPr wrap="none" lIns="0" tIns="0" rIns="0" bIns="0" anchor="t" upright="1">
            <a:spAutoFit/>
          </a:bodyPr>
          <a:lstStyle/>
          <a:p>
            <a:pPr algn="l" rtl="0">
              <a:defRPr sz="1000"/>
            </a:pPr>
            <a:r>
              <a:rPr lang="en-US" sz="1400" b="0" i="0" u="none" strike="noStrike" baseline="0">
                <a:solidFill>
                  <a:srgbClr val="000000"/>
                </a:solidFill>
                <a:latin typeface="Arial"/>
                <a:cs typeface="Arial"/>
              </a:rPr>
              <a:t>Central</a:t>
            </a:r>
            <a:endParaRPr lang="en-US" sz="1400" b="0" i="0" u="none" strike="noStrike" baseline="0">
              <a:solidFill>
                <a:srgbClr val="000000"/>
              </a:solidFill>
              <a:latin typeface="Times New Roman"/>
              <a:cs typeface="Times New Roman"/>
            </a:endParaRPr>
          </a:p>
          <a:p>
            <a:pPr algn="l" rtl="0">
              <a:defRPr sz="1000"/>
            </a:pPr>
            <a:endParaRPr lang="en-US" sz="1400" b="0" i="0" u="none" strike="noStrike" baseline="0">
              <a:solidFill>
                <a:srgbClr val="000000"/>
              </a:solidFill>
              <a:latin typeface="Times New Roman"/>
              <a:cs typeface="Times New Roman"/>
            </a:endParaRPr>
          </a:p>
        </xdr:txBody>
      </xdr:sp>
      <xdr:sp macro="" textlink="">
        <xdr:nvSpPr>
          <xdr:cNvPr id="8383" name="Rectangle 191"/>
          <xdr:cNvSpPr>
            <a:spLocks noChangeArrowheads="1"/>
          </xdr:cNvSpPr>
        </xdr:nvSpPr>
        <xdr:spPr bwMode="auto">
          <a:xfrm>
            <a:off x="2301" y="3410"/>
            <a:ext cx="315" cy="342"/>
          </a:xfrm>
          <a:prstGeom prst="rect">
            <a:avLst/>
          </a:prstGeom>
          <a:noFill/>
          <a:ln w="9525">
            <a:noFill/>
            <a:miter lim="800000"/>
            <a:headEnd/>
            <a:tailEnd/>
          </a:ln>
        </xdr:spPr>
        <xdr:txBody>
          <a:bodyPr wrap="none" lIns="0" tIns="0" rIns="0" bIns="0" anchor="t" upright="1">
            <a:spAutoFit/>
          </a:bodyPr>
          <a:lstStyle/>
          <a:p>
            <a:pPr algn="l" rtl="0">
              <a:defRPr sz="1000"/>
            </a:pPr>
            <a:r>
              <a:rPr lang="en-US" sz="1400" b="0" i="0" u="none" strike="noStrike" baseline="0">
                <a:solidFill>
                  <a:srgbClr val="000000"/>
                </a:solidFill>
                <a:latin typeface="Arial"/>
                <a:cs typeface="Arial"/>
              </a:rPr>
              <a:t>South</a:t>
            </a:r>
          </a:p>
          <a:p>
            <a:pPr algn="l" rtl="0">
              <a:defRPr sz="1000"/>
            </a:pPr>
            <a:endParaRPr lang="en-US" sz="1400" b="0" i="0" u="none" strike="noStrike" baseline="0">
              <a:solidFill>
                <a:srgbClr val="000000"/>
              </a:solidFill>
              <a:latin typeface="Arial"/>
              <a:cs typeface="Arial"/>
            </a:endParaRPr>
          </a:p>
        </xdr:txBody>
      </xdr:sp>
      <xdr:sp macro="" textlink="">
        <xdr:nvSpPr>
          <xdr:cNvPr id="8384" name="Rectangle 192"/>
          <xdr:cNvSpPr>
            <a:spLocks noChangeArrowheads="1"/>
          </xdr:cNvSpPr>
        </xdr:nvSpPr>
        <xdr:spPr bwMode="auto">
          <a:xfrm>
            <a:off x="3002" y="3364"/>
            <a:ext cx="547" cy="357"/>
          </a:xfrm>
          <a:prstGeom prst="rect">
            <a:avLst/>
          </a:prstGeom>
          <a:noFill/>
          <a:ln w="9525">
            <a:noFill/>
            <a:miter lim="800000"/>
            <a:headEnd/>
            <a:tailEnd/>
          </a:ln>
        </xdr:spPr>
        <xdr:txBody>
          <a:bodyPr wrap="none" lIns="0" tIns="0" rIns="0" bIns="0" anchor="t" upright="1">
            <a:spAutoFit/>
          </a:bodyPr>
          <a:lstStyle/>
          <a:p>
            <a:pPr algn="l" rtl="0">
              <a:defRPr sz="1000"/>
            </a:pPr>
            <a:r>
              <a:rPr lang="en-US" sz="1400" b="0" i="0" u="none" strike="noStrike" baseline="0">
                <a:solidFill>
                  <a:srgbClr val="000000"/>
                </a:solidFill>
                <a:latin typeface="Arial"/>
                <a:cs typeface="Arial"/>
              </a:rPr>
              <a:t>Southeast</a:t>
            </a:r>
            <a:endParaRPr lang="en-US" sz="1400" b="0" i="0" u="none" strike="noStrike" baseline="0">
              <a:solidFill>
                <a:srgbClr val="000000"/>
              </a:solidFill>
              <a:latin typeface="Times New Roman"/>
              <a:cs typeface="Times New Roman"/>
            </a:endParaRPr>
          </a:p>
          <a:p>
            <a:pPr algn="l" rtl="0">
              <a:defRPr sz="1000"/>
            </a:pPr>
            <a:endParaRPr lang="en-US" sz="1400" b="0" i="0" u="none" strike="noStrike" baseline="0">
              <a:solidFill>
                <a:srgbClr val="000000"/>
              </a:solidFill>
              <a:latin typeface="Times New Roman"/>
              <a:cs typeface="Times New Roman"/>
            </a:endParaRPr>
          </a:p>
        </xdr:txBody>
      </xdr:sp>
      <xdr:sp macro="" textlink="">
        <xdr:nvSpPr>
          <xdr:cNvPr id="8385" name="Rectangle 193"/>
          <xdr:cNvSpPr>
            <a:spLocks noChangeArrowheads="1"/>
          </xdr:cNvSpPr>
        </xdr:nvSpPr>
        <xdr:spPr bwMode="auto">
          <a:xfrm>
            <a:off x="3226" y="2751"/>
            <a:ext cx="244" cy="357"/>
          </a:xfrm>
          <a:prstGeom prst="rect">
            <a:avLst/>
          </a:prstGeom>
          <a:noFill/>
          <a:ln w="9525">
            <a:noFill/>
            <a:miter lim="800000"/>
            <a:headEnd/>
            <a:tailEnd/>
          </a:ln>
        </xdr:spPr>
        <xdr:txBody>
          <a:bodyPr wrap="none" lIns="0" tIns="0" rIns="0" bIns="0" anchor="t" upright="1">
            <a:spAutoFit/>
          </a:bodyPr>
          <a:lstStyle/>
          <a:p>
            <a:pPr algn="l" rtl="0">
              <a:defRPr sz="1000"/>
            </a:pPr>
            <a:r>
              <a:rPr lang="en-US" sz="1400" b="0" i="0" u="none" strike="noStrike" baseline="0">
                <a:solidFill>
                  <a:srgbClr val="000000"/>
                </a:solidFill>
                <a:latin typeface="Arial"/>
                <a:cs typeface="Arial"/>
              </a:rPr>
              <a:t>East</a:t>
            </a:r>
            <a:endParaRPr lang="en-US" sz="1400" b="0" i="0" u="none" strike="noStrike" baseline="0">
              <a:solidFill>
                <a:srgbClr val="000000"/>
              </a:solidFill>
              <a:latin typeface="Times New Roman"/>
              <a:cs typeface="Times New Roman"/>
            </a:endParaRPr>
          </a:p>
          <a:p>
            <a:pPr algn="l" rtl="0">
              <a:defRPr sz="1000"/>
            </a:pPr>
            <a:endParaRPr lang="en-US" sz="1400" b="0" i="0" u="none" strike="noStrike" baseline="0">
              <a:solidFill>
                <a:srgbClr val="000000"/>
              </a:solidFill>
              <a:latin typeface="Times New Roman"/>
              <a:cs typeface="Times New Roman"/>
            </a:endParaRPr>
          </a:p>
        </xdr:txBody>
      </xdr:sp>
      <xdr:sp macro="" textlink="">
        <xdr:nvSpPr>
          <xdr:cNvPr id="8386" name="Rectangle 194"/>
          <xdr:cNvSpPr>
            <a:spLocks noChangeArrowheads="1"/>
          </xdr:cNvSpPr>
        </xdr:nvSpPr>
        <xdr:spPr bwMode="auto">
          <a:xfrm>
            <a:off x="3057" y="2130"/>
            <a:ext cx="521" cy="357"/>
          </a:xfrm>
          <a:prstGeom prst="rect">
            <a:avLst/>
          </a:prstGeom>
          <a:noFill/>
          <a:ln w="9525">
            <a:noFill/>
            <a:miter lim="800000"/>
            <a:headEnd/>
            <a:tailEnd/>
          </a:ln>
        </xdr:spPr>
        <xdr:txBody>
          <a:bodyPr wrap="none" lIns="0" tIns="0" rIns="0" bIns="0" anchor="t" upright="1">
            <a:spAutoFit/>
          </a:bodyPr>
          <a:lstStyle/>
          <a:p>
            <a:pPr algn="l" rtl="0">
              <a:defRPr sz="1000"/>
            </a:pPr>
            <a:r>
              <a:rPr lang="en-US" sz="1400" b="0" i="0" u="none" strike="noStrike" baseline="0">
                <a:solidFill>
                  <a:srgbClr val="000000"/>
                </a:solidFill>
                <a:latin typeface="Arial"/>
                <a:cs typeface="Arial"/>
              </a:rPr>
              <a:t>Northeast</a:t>
            </a:r>
            <a:endParaRPr lang="en-US" sz="1400" b="0" i="0" u="none" strike="noStrike" baseline="0">
              <a:solidFill>
                <a:srgbClr val="000000"/>
              </a:solidFill>
              <a:latin typeface="Times New Roman"/>
              <a:cs typeface="Times New Roman"/>
            </a:endParaRPr>
          </a:p>
          <a:p>
            <a:pPr algn="l" rtl="0">
              <a:defRPr sz="1000"/>
            </a:pPr>
            <a:endParaRPr lang="en-US" sz="1400" b="0" i="0" u="none" strike="noStrike" baseline="0">
              <a:solidFill>
                <a:srgbClr val="000000"/>
              </a:solidFill>
              <a:latin typeface="Times New Roman"/>
              <a:cs typeface="Times New Roman"/>
            </a:endParaRPr>
          </a:p>
        </xdr:txBody>
      </xdr:sp>
      <xdr:sp macro="" textlink="">
        <xdr:nvSpPr>
          <xdr:cNvPr id="12504" name="Freeform 195"/>
          <xdr:cNvSpPr>
            <a:spLocks/>
          </xdr:cNvSpPr>
        </xdr:nvSpPr>
        <xdr:spPr bwMode="auto">
          <a:xfrm>
            <a:off x="663" y="1764"/>
            <a:ext cx="814" cy="1262"/>
          </a:xfrm>
          <a:custGeom>
            <a:avLst/>
            <a:gdLst>
              <a:gd name="T0" fmla="*/ 0 w 1992"/>
              <a:gd name="T1" fmla="*/ 0 h 2857"/>
              <a:gd name="T2" fmla="*/ 0 w 1992"/>
              <a:gd name="T3" fmla="*/ 1 h 2857"/>
              <a:gd name="T4" fmla="*/ 0 w 1992"/>
              <a:gd name="T5" fmla="*/ 1 h 2857"/>
              <a:gd name="T6" fmla="*/ 0 w 1992"/>
              <a:gd name="T7" fmla="*/ 1 h 2857"/>
              <a:gd name="T8" fmla="*/ 0 w 1992"/>
              <a:gd name="T9" fmla="*/ 1 h 2857"/>
              <a:gd name="T10" fmla="*/ 0 w 1992"/>
              <a:gd name="T11" fmla="*/ 0 h 2857"/>
              <a:gd name="T12" fmla="*/ 0 w 1992"/>
              <a:gd name="T13" fmla="*/ 0 h 2857"/>
              <a:gd name="T14" fmla="*/ 0 w 1992"/>
              <a:gd name="T15" fmla="*/ 0 h 2857"/>
              <a:gd name="T16" fmla="*/ 0 w 1992"/>
              <a:gd name="T17" fmla="*/ 0 h 2857"/>
              <a:gd name="T18" fmla="*/ 0 w 1992"/>
              <a:gd name="T19" fmla="*/ 0 h 2857"/>
              <a:gd name="T20" fmla="*/ 0 w 1992"/>
              <a:gd name="T21" fmla="*/ 0 h 2857"/>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992"/>
              <a:gd name="T34" fmla="*/ 0 h 2857"/>
              <a:gd name="T35" fmla="*/ 1992 w 1992"/>
              <a:gd name="T36" fmla="*/ 2857 h 2857"/>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992" h="2857">
                <a:moveTo>
                  <a:pt x="64" y="10"/>
                </a:moveTo>
                <a:lnTo>
                  <a:pt x="0" y="2857"/>
                </a:lnTo>
                <a:lnTo>
                  <a:pt x="1866" y="2857"/>
                </a:lnTo>
                <a:lnTo>
                  <a:pt x="1877" y="2294"/>
                </a:lnTo>
                <a:lnTo>
                  <a:pt x="1992" y="2294"/>
                </a:lnTo>
                <a:lnTo>
                  <a:pt x="1992" y="1768"/>
                </a:lnTo>
                <a:lnTo>
                  <a:pt x="1932" y="1768"/>
                </a:lnTo>
                <a:lnTo>
                  <a:pt x="1962" y="1420"/>
                </a:lnTo>
                <a:lnTo>
                  <a:pt x="1953" y="10"/>
                </a:lnTo>
                <a:lnTo>
                  <a:pt x="64" y="0"/>
                </a:lnTo>
                <a:lnTo>
                  <a:pt x="64" y="10"/>
                </a:lnTo>
                <a:close/>
              </a:path>
            </a:pathLst>
          </a:custGeom>
          <a:noFill/>
          <a:ln w="27051">
            <a:solidFill>
              <a:srgbClr val="000000"/>
            </a:solidFill>
            <a:prstDash val="solid"/>
            <a:round/>
            <a:headEnd/>
            <a:tailEnd/>
          </a:ln>
        </xdr:spPr>
      </xdr:sp>
      <xdr:sp macro="" textlink="">
        <xdr:nvSpPr>
          <xdr:cNvPr id="8388" name="Rectangle 196"/>
          <xdr:cNvSpPr>
            <a:spLocks noChangeArrowheads="1"/>
          </xdr:cNvSpPr>
        </xdr:nvSpPr>
        <xdr:spPr bwMode="auto">
          <a:xfrm>
            <a:off x="488" y="3431"/>
            <a:ext cx="0" cy="357"/>
          </a:xfrm>
          <a:prstGeom prst="rect">
            <a:avLst/>
          </a:prstGeom>
          <a:noFill/>
          <a:ln w="9525">
            <a:noFill/>
            <a:miter lim="800000"/>
            <a:headEnd/>
            <a:tailEnd/>
          </a:ln>
        </xdr:spPr>
        <xdr:txBody>
          <a:bodyPr wrap="none" lIns="0" tIns="0" rIns="0" bIns="0" anchor="t" upright="1">
            <a:spAutoFit/>
          </a:bodyPr>
          <a:lstStyle/>
          <a:p>
            <a:pPr algn="l" rtl="0">
              <a:defRPr sz="1000"/>
            </a:pPr>
            <a:endParaRPr lang="en-US" sz="1400" b="0" i="0" u="none" strike="noStrike" baseline="0">
              <a:solidFill>
                <a:srgbClr val="000000"/>
              </a:solidFill>
              <a:latin typeface="Times New Roman"/>
              <a:cs typeface="Times New Roman"/>
            </a:endParaRPr>
          </a:p>
          <a:p>
            <a:pPr algn="l" rtl="0">
              <a:defRPr sz="1000"/>
            </a:pPr>
            <a:endParaRPr lang="en-US" sz="1400" b="0" i="0" u="none" strike="noStrike" baseline="0">
              <a:solidFill>
                <a:srgbClr val="000000"/>
              </a:solidFill>
              <a:latin typeface="Times New Roman"/>
              <a:cs typeface="Times New Roman"/>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hyperlink" Target="http://www.ianrpubs.unl.edu/epublic/pages/index.jsp?what=publicationD&amp;publicationId=557" TargetMode="External"/><Relationship Id="rId7" Type="http://schemas.openxmlformats.org/officeDocument/2006/relationships/hyperlink" Target="mailto:bjohnson2@unl.edu" TargetMode="External"/><Relationship Id="rId2" Type="http://schemas.openxmlformats.org/officeDocument/2006/relationships/hyperlink" Target="http://www.ianrpubs.unl.edu/epublic/live/ec872/build/ec872.pdf" TargetMode="External"/><Relationship Id="rId1" Type="http://schemas.openxmlformats.org/officeDocument/2006/relationships/hyperlink" Target="http://agecon.unl.edu/realestate/" TargetMode="External"/><Relationship Id="rId6" Type="http://schemas.openxmlformats.org/officeDocument/2006/relationships/hyperlink" Target="http://www.agecon.unl.edu/" TargetMode="External"/><Relationship Id="rId5" Type="http://schemas.openxmlformats.org/officeDocument/2006/relationships/hyperlink" Target="http://www.agecon.unl.edu/resource.html" TargetMode="External"/><Relationship Id="rId10" Type="http://schemas.openxmlformats.org/officeDocument/2006/relationships/vmlDrawing" Target="../drawings/vmlDrawing7.vml"/><Relationship Id="rId4" Type="http://schemas.openxmlformats.org/officeDocument/2006/relationships/hyperlink" Target="http://www.ianrpubs.unl.edu/epublic/pages/index.jsp?what=publicationD&amp;publicationId=558" TargetMode="External"/><Relationship Id="rId9"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sheetPr codeName="Sheet6"/>
  <dimension ref="A1:P34"/>
  <sheetViews>
    <sheetView tabSelected="1" zoomScaleNormal="100" workbookViewId="0">
      <selection activeCell="B6" sqref="B6"/>
    </sheetView>
  </sheetViews>
  <sheetFormatPr defaultRowHeight="12.75"/>
  <cols>
    <col min="1" max="1" width="2" style="1" customWidth="1"/>
    <col min="2" max="2" width="10.5703125" style="1" bestFit="1" customWidth="1"/>
    <col min="3" max="16384" width="9.140625" style="1"/>
  </cols>
  <sheetData>
    <row r="1" spans="1:16" ht="12.75" customHeight="1">
      <c r="H1" s="241" t="s">
        <v>340</v>
      </c>
      <c r="I1" s="241"/>
      <c r="J1" s="241"/>
      <c r="K1" s="241"/>
      <c r="L1" s="241"/>
      <c r="P1" s="1" t="s">
        <v>0</v>
      </c>
    </row>
    <row r="2" spans="1:16" ht="12.75" customHeight="1">
      <c r="H2" s="241"/>
      <c r="I2" s="241"/>
      <c r="J2" s="241"/>
      <c r="K2" s="241"/>
      <c r="L2" s="241"/>
    </row>
    <row r="3" spans="1:16" ht="12.75" customHeight="1">
      <c r="H3" s="241"/>
      <c r="I3" s="241"/>
      <c r="J3" s="241"/>
      <c r="K3" s="241"/>
      <c r="L3" s="241"/>
    </row>
    <row r="4" spans="1:16" ht="12.75" customHeight="1">
      <c r="H4" s="241"/>
      <c r="I4" s="241"/>
      <c r="J4" s="241"/>
      <c r="K4" s="241"/>
      <c r="L4" s="241"/>
    </row>
    <row r="5" spans="1:16" ht="12.75" customHeight="1">
      <c r="H5" s="241"/>
      <c r="I5" s="241"/>
      <c r="J5" s="241"/>
      <c r="K5" s="241"/>
      <c r="L5" s="241"/>
    </row>
    <row r="6" spans="1:16" ht="15" customHeight="1">
      <c r="B6" s="240">
        <v>40618</v>
      </c>
      <c r="H6" s="241"/>
      <c r="I6" s="241"/>
      <c r="J6" s="241"/>
      <c r="K6" s="241"/>
      <c r="L6" s="241"/>
    </row>
    <row r="7" spans="1:16" ht="12.75" customHeight="1">
      <c r="H7" s="241"/>
      <c r="I7" s="241"/>
      <c r="J7" s="241"/>
      <c r="K7" s="241"/>
      <c r="L7" s="241"/>
    </row>
    <row r="8" spans="1:16" s="2" customFormat="1">
      <c r="G8" s="3"/>
      <c r="H8" s="3"/>
      <c r="I8" s="3"/>
      <c r="J8" s="3"/>
      <c r="K8" s="3"/>
    </row>
    <row r="9" spans="1:16">
      <c r="B9" s="4"/>
      <c r="C9" s="4"/>
      <c r="D9" s="243" t="s">
        <v>341</v>
      </c>
      <c r="E9" s="243"/>
      <c r="F9" s="243"/>
      <c r="G9" s="243"/>
      <c r="H9" s="243"/>
      <c r="I9" s="243"/>
      <c r="J9" s="243"/>
      <c r="K9" s="243"/>
      <c r="L9" s="243"/>
      <c r="M9" s="4"/>
      <c r="N9" s="4"/>
      <c r="O9" s="4"/>
    </row>
    <row r="10" spans="1:16">
      <c r="A10" s="4"/>
      <c r="B10" s="4"/>
      <c r="C10" s="4"/>
      <c r="D10" s="243"/>
      <c r="E10" s="243"/>
      <c r="F10" s="243"/>
      <c r="G10" s="243"/>
      <c r="H10" s="243"/>
      <c r="I10" s="243"/>
      <c r="J10" s="243"/>
      <c r="K10" s="243"/>
      <c r="L10" s="243"/>
      <c r="M10" s="4"/>
      <c r="N10" s="4"/>
      <c r="O10" s="4"/>
    </row>
    <row r="11" spans="1:16">
      <c r="D11" s="5"/>
      <c r="E11" s="5"/>
      <c r="F11" s="5"/>
      <c r="G11" s="5"/>
      <c r="H11" s="5"/>
      <c r="I11" s="5"/>
      <c r="J11" s="5"/>
      <c r="K11" s="5"/>
      <c r="L11" s="5"/>
    </row>
    <row r="13" spans="1:16">
      <c r="A13" s="6" t="s">
        <v>1</v>
      </c>
      <c r="H13" s="7"/>
    </row>
    <row r="14" spans="1:16" ht="12.75" customHeight="1">
      <c r="B14" s="244" t="s">
        <v>326</v>
      </c>
      <c r="C14" s="244"/>
      <c r="D14" s="244"/>
      <c r="E14" s="244"/>
      <c r="F14" s="244"/>
      <c r="G14" s="244"/>
      <c r="H14" s="244"/>
      <c r="I14" s="244"/>
      <c r="J14" s="244"/>
      <c r="K14" s="244"/>
      <c r="L14" s="244"/>
      <c r="M14" s="244"/>
      <c r="N14" s="244"/>
      <c r="O14" s="244"/>
      <c r="P14" s="244"/>
    </row>
    <row r="15" spans="1:16">
      <c r="B15" s="244"/>
      <c r="C15" s="244"/>
      <c r="D15" s="244"/>
      <c r="E15" s="244"/>
      <c r="F15" s="244"/>
      <c r="G15" s="244"/>
      <c r="H15" s="244"/>
      <c r="I15" s="244"/>
      <c r="J15" s="244"/>
      <c r="K15" s="244"/>
      <c r="L15" s="244"/>
      <c r="M15" s="244"/>
      <c r="N15" s="244"/>
      <c r="O15" s="244"/>
      <c r="P15" s="244"/>
    </row>
    <row r="16" spans="1:16">
      <c r="B16" s="244"/>
      <c r="C16" s="244"/>
      <c r="D16" s="244"/>
      <c r="E16" s="244"/>
      <c r="F16" s="244"/>
      <c r="G16" s="244"/>
      <c r="H16" s="244"/>
      <c r="I16" s="244"/>
      <c r="J16" s="244"/>
      <c r="K16" s="244"/>
      <c r="L16" s="244"/>
      <c r="M16" s="244"/>
      <c r="N16" s="244"/>
      <c r="O16" s="244"/>
      <c r="P16" s="244"/>
    </row>
    <row r="17" spans="1:16">
      <c r="A17" s="8"/>
      <c r="B17" s="8"/>
      <c r="C17" s="8"/>
      <c r="D17" s="8"/>
      <c r="E17" s="8"/>
      <c r="F17" s="8"/>
      <c r="G17" s="8"/>
      <c r="H17" s="8"/>
      <c r="I17" s="8"/>
    </row>
    <row r="18" spans="1:16">
      <c r="A18" s="9" t="s">
        <v>2</v>
      </c>
    </row>
    <row r="19" spans="1:16" ht="12.75" customHeight="1">
      <c r="B19" s="244" t="s">
        <v>325</v>
      </c>
      <c r="C19" s="244"/>
      <c r="D19" s="244"/>
      <c r="E19" s="244"/>
      <c r="F19" s="244"/>
      <c r="G19" s="244"/>
      <c r="H19" s="244"/>
      <c r="I19" s="244"/>
      <c r="J19" s="244"/>
      <c r="K19" s="244"/>
      <c r="L19" s="244"/>
      <c r="M19" s="244"/>
      <c r="N19" s="244"/>
      <c r="O19" s="244"/>
      <c r="P19" s="244"/>
    </row>
    <row r="20" spans="1:16">
      <c r="B20" s="244"/>
      <c r="C20" s="244"/>
      <c r="D20" s="244"/>
      <c r="E20" s="244"/>
      <c r="F20" s="244"/>
      <c r="G20" s="244"/>
      <c r="H20" s="244"/>
      <c r="I20" s="244"/>
      <c r="J20" s="244"/>
      <c r="K20" s="244"/>
      <c r="L20" s="244"/>
      <c r="M20" s="244"/>
      <c r="N20" s="244"/>
      <c r="O20" s="244"/>
      <c r="P20" s="244"/>
    </row>
    <row r="21" spans="1:16">
      <c r="B21" s="244"/>
      <c r="C21" s="244"/>
      <c r="D21" s="244"/>
      <c r="E21" s="244"/>
      <c r="F21" s="244"/>
      <c r="G21" s="244"/>
      <c r="H21" s="244"/>
      <c r="I21" s="244"/>
      <c r="J21" s="244"/>
      <c r="K21" s="244"/>
      <c r="L21" s="244"/>
      <c r="M21" s="244"/>
      <c r="N21" s="244"/>
      <c r="O21" s="244"/>
      <c r="P21" s="244"/>
    </row>
    <row r="23" spans="1:16">
      <c r="A23" s="9" t="s">
        <v>3</v>
      </c>
    </row>
    <row r="24" spans="1:16" ht="12.75" customHeight="1">
      <c r="B24" s="244" t="s">
        <v>327</v>
      </c>
      <c r="C24" s="244"/>
      <c r="D24" s="244"/>
      <c r="E24" s="244"/>
      <c r="F24" s="244"/>
      <c r="G24" s="244"/>
      <c r="H24" s="244"/>
      <c r="I24" s="244"/>
      <c r="J24" s="244"/>
      <c r="K24" s="244"/>
      <c r="L24" s="244"/>
      <c r="M24" s="244"/>
      <c r="N24" s="244"/>
      <c r="O24" s="244"/>
      <c r="P24" s="244"/>
    </row>
    <row r="25" spans="1:16">
      <c r="B25" s="244"/>
      <c r="C25" s="244"/>
      <c r="D25" s="244"/>
      <c r="E25" s="244"/>
      <c r="F25" s="244"/>
      <c r="G25" s="244"/>
      <c r="H25" s="244"/>
      <c r="I25" s="244"/>
      <c r="J25" s="244"/>
      <c r="K25" s="244"/>
      <c r="L25" s="244"/>
      <c r="M25" s="244"/>
      <c r="N25" s="244"/>
      <c r="O25" s="244"/>
      <c r="P25" s="244"/>
    </row>
    <row r="26" spans="1:16">
      <c r="B26" s="244"/>
      <c r="C26" s="244"/>
      <c r="D26" s="244"/>
      <c r="E26" s="244"/>
      <c r="F26" s="244"/>
      <c r="G26" s="244"/>
      <c r="H26" s="244"/>
      <c r="I26" s="244"/>
      <c r="J26" s="244"/>
      <c r="K26" s="244"/>
      <c r="L26" s="244"/>
      <c r="M26" s="244"/>
      <c r="N26" s="244"/>
      <c r="O26" s="244"/>
      <c r="P26" s="244"/>
    </row>
    <row r="27" spans="1:16">
      <c r="B27" s="245"/>
      <c r="C27" s="245"/>
      <c r="D27" s="245"/>
      <c r="E27" s="245"/>
      <c r="F27" s="245"/>
      <c r="G27" s="245"/>
      <c r="H27" s="245"/>
      <c r="I27" s="245"/>
      <c r="J27" s="245"/>
      <c r="K27" s="245"/>
      <c r="L27" s="245"/>
      <c r="M27" s="245"/>
      <c r="N27" s="245"/>
      <c r="O27" s="245"/>
      <c r="P27" s="245"/>
    </row>
    <row r="29" spans="1:16">
      <c r="A29" s="9" t="s">
        <v>4</v>
      </c>
    </row>
    <row r="30" spans="1:16" ht="12.75" customHeight="1">
      <c r="B30" s="242" t="s">
        <v>5</v>
      </c>
      <c r="C30" s="242"/>
      <c r="D30" s="242"/>
      <c r="E30" s="242"/>
      <c r="F30" s="242"/>
      <c r="G30" s="242"/>
      <c r="H30" s="242"/>
      <c r="I30" s="242"/>
      <c r="J30" s="242"/>
      <c r="K30" s="242"/>
      <c r="L30" s="242"/>
      <c r="M30" s="242"/>
      <c r="N30" s="242"/>
      <c r="O30" s="242"/>
      <c r="P30" s="242"/>
    </row>
    <row r="31" spans="1:16">
      <c r="B31" s="242"/>
      <c r="C31" s="242"/>
      <c r="D31" s="242"/>
      <c r="E31" s="242"/>
      <c r="F31" s="242"/>
      <c r="G31" s="242"/>
      <c r="H31" s="242"/>
      <c r="I31" s="242"/>
      <c r="J31" s="242"/>
      <c r="K31" s="242"/>
      <c r="L31" s="242"/>
      <c r="M31" s="242"/>
      <c r="N31" s="242"/>
      <c r="O31" s="242"/>
      <c r="P31" s="242"/>
    </row>
    <row r="33" spans="1:16">
      <c r="A33" s="9" t="s">
        <v>6</v>
      </c>
    </row>
    <row r="34" spans="1:16">
      <c r="B34" s="242" t="s">
        <v>342</v>
      </c>
      <c r="C34" s="242"/>
      <c r="D34" s="242"/>
      <c r="E34" s="242"/>
      <c r="F34" s="242"/>
      <c r="G34" s="242"/>
      <c r="H34" s="242"/>
      <c r="I34" s="242"/>
      <c r="J34" s="242"/>
      <c r="K34" s="242"/>
      <c r="L34" s="242"/>
      <c r="M34" s="242"/>
      <c r="N34" s="242"/>
      <c r="O34" s="242"/>
      <c r="P34" s="242"/>
    </row>
  </sheetData>
  <sheetProtection password="C1EF" sheet="1" objects="1" scenarios="1"/>
  <mergeCells count="7">
    <mergeCell ref="H1:L7"/>
    <mergeCell ref="B30:P31"/>
    <mergeCell ref="B34:P34"/>
    <mergeCell ref="D9:L10"/>
    <mergeCell ref="B14:P16"/>
    <mergeCell ref="B19:P21"/>
    <mergeCell ref="B24:P27"/>
  </mergeCells>
  <phoneticPr fontId="0" type="noConversion"/>
  <pageMargins left="0.75" right="0.75" top="1" bottom="1" header="0.5" footer="0.5"/>
  <pageSetup scale="8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sheetPr codeName="Sheet1">
    <pageSetUpPr fitToPage="1"/>
  </sheetPr>
  <dimension ref="A1:R270"/>
  <sheetViews>
    <sheetView zoomScaleNormal="100" workbookViewId="0">
      <selection sqref="A1:J1"/>
    </sheetView>
  </sheetViews>
  <sheetFormatPr defaultRowHeight="12.75"/>
  <cols>
    <col min="1" max="1" width="35.28515625" customWidth="1"/>
    <col min="2" max="2" width="3" customWidth="1"/>
    <col min="3" max="6" width="12" customWidth="1"/>
    <col min="7" max="7" width="2.85546875" bestFit="1" customWidth="1"/>
    <col min="8" max="8" width="11.5703125" customWidth="1"/>
    <col min="9" max="9" width="11.42578125" customWidth="1"/>
    <col min="10" max="10" width="17.140625" customWidth="1"/>
    <col min="11" max="11" width="4.140625" customWidth="1"/>
    <col min="12" max="12" width="9.7109375" customWidth="1"/>
    <col min="13" max="14" width="9.7109375" bestFit="1" customWidth="1"/>
  </cols>
  <sheetData>
    <row r="1" spans="1:11" ht="18">
      <c r="A1" s="246" t="s">
        <v>7</v>
      </c>
      <c r="B1" s="247"/>
      <c r="C1" s="247"/>
      <c r="D1" s="247"/>
      <c r="E1" s="247"/>
      <c r="F1" s="247"/>
      <c r="G1" s="247"/>
      <c r="H1" s="247"/>
      <c r="I1" s="247"/>
      <c r="J1" s="247"/>
    </row>
    <row r="2" spans="1:11">
      <c r="A2" s="10"/>
      <c r="B2" s="10"/>
    </row>
    <row r="3" spans="1:11" ht="13.5" thickBot="1">
      <c r="A3" s="11"/>
      <c r="B3" s="252" t="s">
        <v>8</v>
      </c>
      <c r="C3" s="252"/>
      <c r="D3" s="252"/>
      <c r="E3" s="252"/>
      <c r="H3" s="252" t="s">
        <v>9</v>
      </c>
      <c r="I3" s="252"/>
      <c r="J3" s="252"/>
    </row>
    <row r="4" spans="1:11">
      <c r="A4" s="13" t="s">
        <v>10</v>
      </c>
      <c r="B4" s="265" t="s">
        <v>11</v>
      </c>
      <c r="C4" s="265"/>
      <c r="D4" s="265"/>
      <c r="E4" s="265"/>
      <c r="F4" s="14"/>
      <c r="H4" s="263" t="s">
        <v>12</v>
      </c>
      <c r="I4" s="263"/>
      <c r="J4" s="263"/>
    </row>
    <row r="5" spans="1:11">
      <c r="A5" s="13" t="s">
        <v>13</v>
      </c>
      <c r="B5" s="250" t="s">
        <v>14</v>
      </c>
      <c r="C5" s="250"/>
      <c r="D5" s="250"/>
      <c r="E5" s="250"/>
      <c r="F5" s="14"/>
      <c r="H5" s="263" t="s">
        <v>15</v>
      </c>
      <c r="I5" s="263"/>
      <c r="J5" s="263"/>
    </row>
    <row r="6" spans="1:11">
      <c r="A6" s="13" t="s">
        <v>16</v>
      </c>
      <c r="B6" s="250" t="s">
        <v>17</v>
      </c>
      <c r="C6" s="250"/>
      <c r="D6" s="250"/>
      <c r="E6" s="250"/>
      <c r="F6" s="14"/>
      <c r="H6" s="263" t="s">
        <v>17</v>
      </c>
      <c r="I6" s="263"/>
      <c r="J6" s="263"/>
    </row>
    <row r="7" spans="1:11">
      <c r="A7" s="13" t="s">
        <v>18</v>
      </c>
      <c r="B7" s="251" t="s">
        <v>19</v>
      </c>
      <c r="C7" s="251"/>
      <c r="D7" s="251"/>
      <c r="E7" s="251"/>
      <c r="F7" s="14"/>
      <c r="H7" s="264" t="s">
        <v>20</v>
      </c>
      <c r="I7" s="264"/>
      <c r="J7" s="264"/>
    </row>
    <row r="8" spans="1:11">
      <c r="A8" s="15"/>
      <c r="B8" s="16"/>
      <c r="C8" s="16"/>
      <c r="D8" s="16"/>
      <c r="E8" s="16"/>
      <c r="F8" s="17"/>
      <c r="G8" s="18"/>
      <c r="H8" s="19"/>
      <c r="I8" s="19"/>
      <c r="J8" s="19"/>
    </row>
    <row r="9" spans="1:11">
      <c r="A9" s="20" t="s">
        <v>21</v>
      </c>
      <c r="B9" s="250" t="s">
        <v>347</v>
      </c>
      <c r="C9" s="250"/>
      <c r="D9" s="250"/>
      <c r="E9" s="250"/>
      <c r="F9" s="250"/>
      <c r="G9" s="250"/>
      <c r="H9" s="250"/>
      <c r="I9" s="250"/>
      <c r="J9" s="250"/>
    </row>
    <row r="10" spans="1:11">
      <c r="I10" s="17"/>
    </row>
    <row r="11" spans="1:11" s="14" customFormat="1" ht="13.5" thickBot="1">
      <c r="A11" s="21" t="s">
        <v>22</v>
      </c>
      <c r="B11" s="21"/>
      <c r="C11" s="211" t="s">
        <v>345</v>
      </c>
      <c r="D11" s="211" t="s">
        <v>346</v>
      </c>
      <c r="E11" s="211" t="s">
        <v>343</v>
      </c>
      <c r="F11" s="211" t="s">
        <v>344</v>
      </c>
      <c r="G11" s="22"/>
      <c r="H11" s="23"/>
      <c r="I11" s="12"/>
      <c r="J11" s="24" t="s">
        <v>23</v>
      </c>
      <c r="K11" s="25"/>
    </row>
    <row r="12" spans="1:11">
      <c r="A12" t="s">
        <v>24</v>
      </c>
      <c r="C12" s="210">
        <v>65</v>
      </c>
      <c r="D12" s="210">
        <v>65</v>
      </c>
      <c r="E12" s="210">
        <v>15</v>
      </c>
      <c r="F12" s="210">
        <v>15</v>
      </c>
      <c r="G12" s="26"/>
      <c r="I12" s="17"/>
      <c r="J12" s="26">
        <f>SUM(C12:G12)</f>
        <v>160</v>
      </c>
    </row>
    <row r="13" spans="1:11">
      <c r="A13" s="27" t="s">
        <v>25</v>
      </c>
      <c r="B13" s="27"/>
      <c r="C13" s="210">
        <v>1</v>
      </c>
      <c r="D13" s="210">
        <v>1</v>
      </c>
      <c r="E13" s="210">
        <v>1</v>
      </c>
      <c r="F13" s="210">
        <v>1</v>
      </c>
      <c r="I13" s="17"/>
      <c r="J13" s="26">
        <f>SUMPRODUCT(C12:F12,C13:F13)</f>
        <v>160</v>
      </c>
    </row>
    <row r="14" spans="1:11">
      <c r="C14" s="14"/>
      <c r="D14" s="14"/>
      <c r="E14" s="14"/>
      <c r="F14" s="14"/>
      <c r="I14" s="28"/>
      <c r="J14" s="14"/>
    </row>
    <row r="15" spans="1:11" ht="13.5" thickBot="1">
      <c r="A15" s="248" t="s">
        <v>26</v>
      </c>
      <c r="B15" s="249"/>
      <c r="C15" s="249"/>
      <c r="D15" s="249"/>
      <c r="E15" s="249"/>
      <c r="F15" s="249"/>
      <c r="G15" s="249"/>
      <c r="H15" s="249"/>
      <c r="I15" s="249"/>
      <c r="J15" s="249"/>
      <c r="K15" s="14"/>
    </row>
    <row r="16" spans="1:11">
      <c r="A16" s="30"/>
      <c r="B16" s="30"/>
      <c r="C16" s="31" t="str">
        <f>C11</f>
        <v>Irr Corn</v>
      </c>
      <c r="D16" s="31" t="str">
        <f>D11</f>
        <v>Irr Soybeans</v>
      </c>
      <c r="E16" s="31" t="str">
        <f>E11</f>
        <v>Dry Corn</v>
      </c>
      <c r="F16" s="31" t="str">
        <f>F11</f>
        <v>Dry Soybeans</v>
      </c>
      <c r="G16" s="32"/>
      <c r="H16" s="33"/>
      <c r="I16" s="34"/>
      <c r="J16" s="35" t="s">
        <v>23</v>
      </c>
      <c r="K16" s="14"/>
    </row>
    <row r="17" spans="1:18">
      <c r="A17" t="s">
        <v>27</v>
      </c>
      <c r="C17" s="210">
        <v>220</v>
      </c>
      <c r="D17" s="210">
        <v>60</v>
      </c>
      <c r="E17" s="210">
        <v>140</v>
      </c>
      <c r="F17" s="210">
        <v>45</v>
      </c>
      <c r="G17" s="26"/>
      <c r="I17" s="17"/>
      <c r="J17" s="36" t="s">
        <v>28</v>
      </c>
    </row>
    <row r="18" spans="1:18">
      <c r="A18" t="s">
        <v>29</v>
      </c>
      <c r="C18" s="212">
        <v>5.5</v>
      </c>
      <c r="D18" s="212">
        <v>11.5</v>
      </c>
      <c r="E18" s="212">
        <v>5.5</v>
      </c>
      <c r="F18" s="212">
        <v>11.5</v>
      </c>
      <c r="G18" s="37"/>
      <c r="I18" s="17"/>
      <c r="J18" s="38" t="s">
        <v>28</v>
      </c>
    </row>
    <row r="19" spans="1:18">
      <c r="A19" s="39" t="s">
        <v>30</v>
      </c>
      <c r="B19" s="39"/>
      <c r="C19" s="40">
        <f>C17*C18</f>
        <v>1210</v>
      </c>
      <c r="D19" s="40">
        <f>D17*D18</f>
        <v>690</v>
      </c>
      <c r="E19" s="40">
        <f>E17*E18</f>
        <v>770</v>
      </c>
      <c r="F19" s="40">
        <f>F17*F18</f>
        <v>517.5</v>
      </c>
      <c r="G19" s="41"/>
      <c r="H19" s="42"/>
      <c r="I19" s="43"/>
      <c r="J19" s="44">
        <f>SUMPRODUCT($C$12:$F$12,C19:F19)</f>
        <v>142812.5</v>
      </c>
    </row>
    <row r="20" spans="1:18">
      <c r="A20" t="s">
        <v>31</v>
      </c>
      <c r="C20" s="212">
        <v>20</v>
      </c>
      <c r="D20" s="212">
        <v>20</v>
      </c>
      <c r="E20" s="212">
        <v>12</v>
      </c>
      <c r="F20" s="212">
        <v>12</v>
      </c>
      <c r="G20" s="37"/>
      <c r="I20" s="17"/>
      <c r="J20" s="37">
        <f>SUMPRODUCT($C$12:$F$12,C20:F20)</f>
        <v>2960</v>
      </c>
    </row>
    <row r="21" spans="1:18">
      <c r="A21" s="213" t="s">
        <v>32</v>
      </c>
      <c r="B21" s="18"/>
      <c r="C21" s="212"/>
      <c r="D21" s="212"/>
      <c r="E21" s="212"/>
      <c r="F21" s="212"/>
      <c r="G21" s="37"/>
      <c r="I21" s="17"/>
      <c r="J21" s="37">
        <f>SUMPRODUCT($C$12:$F$12,C21:F21)</f>
        <v>0</v>
      </c>
    </row>
    <row r="22" spans="1:18">
      <c r="A22" s="45" t="s">
        <v>33</v>
      </c>
      <c r="B22" s="45"/>
      <c r="C22" s="46">
        <f>C19+SUM(C20:C21)</f>
        <v>1230</v>
      </c>
      <c r="D22" s="46">
        <f>D19+SUM(D20:D21)</f>
        <v>710</v>
      </c>
      <c r="E22" s="46">
        <f>E19+SUM(E20:E21)</f>
        <v>782</v>
      </c>
      <c r="F22" s="46">
        <f>F19+SUM(F20:F21)</f>
        <v>529.5</v>
      </c>
      <c r="G22" s="47"/>
      <c r="H22" s="45"/>
      <c r="I22" s="27"/>
      <c r="J22" s="44">
        <f>SUMPRODUCT($C$12:$F$12,C22:F22)</f>
        <v>145772.5</v>
      </c>
    </row>
    <row r="24" spans="1:18" ht="13.5" thickBot="1">
      <c r="A24" s="248" t="s">
        <v>34</v>
      </c>
      <c r="B24" s="249"/>
      <c r="C24" s="249"/>
      <c r="D24" s="249"/>
      <c r="E24" s="249"/>
      <c r="F24" s="249"/>
      <c r="G24" s="249"/>
      <c r="H24" s="249"/>
      <c r="I24" s="249"/>
      <c r="J24" s="249"/>
      <c r="K24" s="28"/>
      <c r="L24" s="30"/>
      <c r="M24" s="48"/>
      <c r="N24" s="48"/>
      <c r="O24" s="48"/>
      <c r="P24" s="48"/>
      <c r="R24" s="48"/>
    </row>
    <row r="25" spans="1:18">
      <c r="A25" s="49"/>
      <c r="B25" s="50"/>
      <c r="C25" s="50"/>
      <c r="D25" s="50"/>
      <c r="E25" s="50"/>
      <c r="F25" s="50"/>
      <c r="G25" s="50"/>
      <c r="H25" s="50"/>
      <c r="I25" s="50"/>
      <c r="J25" s="50"/>
      <c r="K25" s="28"/>
      <c r="L25" s="30"/>
      <c r="M25" s="48"/>
      <c r="N25" s="48"/>
      <c r="O25" s="48"/>
      <c r="P25" s="48"/>
      <c r="R25" s="48"/>
    </row>
    <row r="26" spans="1:18">
      <c r="A26" s="32" t="s">
        <v>35</v>
      </c>
      <c r="B26" s="51"/>
      <c r="C26" s="31" t="str">
        <f>C11</f>
        <v>Irr Corn</v>
      </c>
      <c r="D26" s="31" t="str">
        <f>D11</f>
        <v>Irr Soybeans</v>
      </c>
      <c r="E26" s="31" t="str">
        <f>E11</f>
        <v>Dry Corn</v>
      </c>
      <c r="F26" s="31" t="str">
        <f>F11</f>
        <v>Dry Soybeans</v>
      </c>
      <c r="G26" s="33"/>
      <c r="H26" s="33"/>
      <c r="I26" s="52"/>
      <c r="J26" s="53" t="s">
        <v>23</v>
      </c>
      <c r="K26" s="17"/>
      <c r="L26" s="14"/>
      <c r="M26" s="14"/>
      <c r="N26" s="14"/>
      <c r="O26" s="14"/>
      <c r="P26" s="14"/>
    </row>
    <row r="27" spans="1:18">
      <c r="A27" t="s">
        <v>36</v>
      </c>
      <c r="C27" s="214">
        <v>32</v>
      </c>
      <c r="D27" s="214">
        <v>132</v>
      </c>
      <c r="E27" s="214">
        <v>23</v>
      </c>
      <c r="F27" s="214">
        <v>120</v>
      </c>
      <c r="G27" s="54"/>
      <c r="I27" s="55"/>
      <c r="J27" s="56" t="s">
        <v>28</v>
      </c>
      <c r="K27" s="17"/>
    </row>
    <row r="28" spans="1:18">
      <c r="A28" t="s">
        <v>29</v>
      </c>
      <c r="C28" s="215">
        <v>2.65</v>
      </c>
      <c r="D28" s="215">
        <v>0.3</v>
      </c>
      <c r="E28" s="215">
        <v>2.65</v>
      </c>
      <c r="F28" s="215">
        <v>0.3</v>
      </c>
      <c r="G28" s="54"/>
      <c r="I28" s="55"/>
      <c r="J28" s="56" t="s">
        <v>28</v>
      </c>
      <c r="K28" s="17"/>
    </row>
    <row r="29" spans="1:18">
      <c r="A29" s="45" t="s">
        <v>37</v>
      </c>
      <c r="B29" s="45"/>
      <c r="C29" s="46">
        <f>C27*C28</f>
        <v>84.8</v>
      </c>
      <c r="D29" s="46">
        <f>D27*D28</f>
        <v>39.6</v>
      </c>
      <c r="E29" s="46">
        <f>E27*E28</f>
        <v>60.949999999999996</v>
      </c>
      <c r="F29" s="46">
        <f>F27*F28</f>
        <v>36</v>
      </c>
      <c r="G29" s="57"/>
      <c r="H29" s="11"/>
      <c r="I29" s="11"/>
      <c r="J29" s="44">
        <f>SUMPRODUCT(C12:F12,C29:F29)</f>
        <v>9540.25</v>
      </c>
    </row>
    <row r="30" spans="1:18">
      <c r="C30" s="37"/>
      <c r="D30" s="37"/>
      <c r="E30" s="37"/>
      <c r="F30" s="37"/>
      <c r="G30" s="26"/>
      <c r="J30" s="44"/>
    </row>
    <row r="31" spans="1:18">
      <c r="A31" s="32" t="s">
        <v>38</v>
      </c>
      <c r="B31" s="51"/>
      <c r="C31" s="31" t="str">
        <f>$C$11</f>
        <v>Irr Corn</v>
      </c>
      <c r="D31" s="31" t="str">
        <f>$D$11</f>
        <v>Irr Soybeans</v>
      </c>
      <c r="E31" s="31" t="str">
        <f>$E$11</f>
        <v>Dry Corn</v>
      </c>
      <c r="F31" s="31" t="str">
        <f>$F$11</f>
        <v>Dry Soybeans</v>
      </c>
      <c r="G31" s="35" t="s">
        <v>39</v>
      </c>
      <c r="H31" s="31" t="s">
        <v>40</v>
      </c>
      <c r="I31" s="35" t="s">
        <v>41</v>
      </c>
      <c r="J31" s="35" t="s">
        <v>23</v>
      </c>
    </row>
    <row r="32" spans="1:18">
      <c r="A32" s="213" t="s">
        <v>42</v>
      </c>
      <c r="B32" s="18"/>
      <c r="C32" s="209">
        <v>6</v>
      </c>
      <c r="D32" s="209"/>
      <c r="E32" s="209">
        <v>6</v>
      </c>
      <c r="F32" s="209"/>
      <c r="H32" s="216">
        <v>2.5</v>
      </c>
      <c r="I32" s="217" t="s">
        <v>43</v>
      </c>
      <c r="J32" s="37">
        <f t="shared" ref="J32:J37" si="0">SUMPRODUCT($C$12:$F$12,C32:F32)*H32</f>
        <v>1200</v>
      </c>
    </row>
    <row r="33" spans="1:11">
      <c r="A33" s="213" t="s">
        <v>44</v>
      </c>
      <c r="B33" s="18"/>
      <c r="C33" s="209">
        <v>235</v>
      </c>
      <c r="D33" s="209"/>
      <c r="E33" s="209">
        <v>125</v>
      </c>
      <c r="F33" s="209"/>
      <c r="H33" s="216">
        <v>0.4</v>
      </c>
      <c r="I33" s="217" t="s">
        <v>45</v>
      </c>
      <c r="J33" s="37">
        <f t="shared" si="0"/>
        <v>6860</v>
      </c>
    </row>
    <row r="34" spans="1:11">
      <c r="A34" s="213" t="s">
        <v>46</v>
      </c>
      <c r="B34" s="18"/>
      <c r="C34" s="209"/>
      <c r="D34" s="209"/>
      <c r="E34" s="209"/>
      <c r="F34" s="209"/>
      <c r="H34" s="216">
        <v>0.3</v>
      </c>
      <c r="I34" s="217" t="s">
        <v>45</v>
      </c>
      <c r="J34" s="37">
        <f t="shared" si="0"/>
        <v>0</v>
      </c>
    </row>
    <row r="35" spans="1:11">
      <c r="A35" s="213" t="s">
        <v>47</v>
      </c>
      <c r="B35" s="18"/>
      <c r="C35" s="209"/>
      <c r="D35" s="209"/>
      <c r="E35" s="209"/>
      <c r="F35" s="209"/>
      <c r="H35" s="216">
        <v>0.25</v>
      </c>
      <c r="I35" s="217" t="s">
        <v>45</v>
      </c>
      <c r="J35" s="37">
        <f t="shared" si="0"/>
        <v>0</v>
      </c>
    </row>
    <row r="36" spans="1:11">
      <c r="A36" s="213" t="s">
        <v>48</v>
      </c>
      <c r="B36" s="18"/>
      <c r="C36" s="209"/>
      <c r="D36" s="209"/>
      <c r="E36" s="209"/>
      <c r="F36" s="209"/>
      <c r="H36" s="216">
        <v>0.2</v>
      </c>
      <c r="I36" s="217" t="s">
        <v>45</v>
      </c>
      <c r="J36" s="37">
        <f t="shared" si="0"/>
        <v>0</v>
      </c>
    </row>
    <row r="37" spans="1:11">
      <c r="A37" s="213" t="s">
        <v>49</v>
      </c>
      <c r="B37" s="18"/>
      <c r="C37" s="209"/>
      <c r="D37" s="209"/>
      <c r="E37" s="209"/>
      <c r="F37" s="209"/>
      <c r="H37" s="216"/>
      <c r="I37" s="217"/>
      <c r="J37" s="37">
        <f t="shared" si="0"/>
        <v>0</v>
      </c>
    </row>
    <row r="38" spans="1:11" s="11" customFormat="1">
      <c r="A38" s="45" t="s">
        <v>50</v>
      </c>
      <c r="B38" s="45"/>
      <c r="C38" s="46">
        <f>SUMPRODUCT(C32:C37,$H$32:$H$37)</f>
        <v>109</v>
      </c>
      <c r="D38" s="46">
        <f>SUMPRODUCT(D32:D37,$H$32:$H$37)</f>
        <v>0</v>
      </c>
      <c r="E38" s="46">
        <f>SUMPRODUCT(E32:E37,$H$32:$H$37)</f>
        <v>65</v>
      </c>
      <c r="F38" s="46">
        <f>SUMPRODUCT(F32:F37,$H$32:$H$37)</f>
        <v>0</v>
      </c>
      <c r="G38" s="45"/>
      <c r="H38" s="45"/>
      <c r="I38" s="45"/>
      <c r="J38" s="44">
        <f>SUMPRODUCT($C$12:$F$12,C38:F38)</f>
        <v>8060</v>
      </c>
    </row>
    <row r="39" spans="1:11">
      <c r="C39" s="11"/>
      <c r="D39" s="11"/>
      <c r="E39" s="11"/>
      <c r="F39" s="11"/>
      <c r="G39" s="11"/>
      <c r="H39" s="11"/>
      <c r="I39" s="11"/>
      <c r="J39" s="11"/>
      <c r="K39" s="11"/>
    </row>
    <row r="40" spans="1:11">
      <c r="A40" s="32" t="s">
        <v>51</v>
      </c>
      <c r="B40" s="51"/>
      <c r="C40" s="31" t="str">
        <f>C11</f>
        <v>Irr Corn</v>
      </c>
      <c r="D40" s="31" t="str">
        <f>D11</f>
        <v>Irr Soybeans</v>
      </c>
      <c r="E40" s="31" t="str">
        <f>E11</f>
        <v>Dry Corn</v>
      </c>
      <c r="F40" s="31" t="str">
        <f>F11</f>
        <v>Dry Soybeans</v>
      </c>
      <c r="G40" s="35" t="s">
        <v>39</v>
      </c>
      <c r="H40" s="31" t="s">
        <v>40</v>
      </c>
      <c r="I40" s="35" t="s">
        <v>41</v>
      </c>
      <c r="J40" s="35" t="s">
        <v>23</v>
      </c>
      <c r="K40" s="25"/>
    </row>
    <row r="41" spans="1:11">
      <c r="A41" s="213" t="s">
        <v>52</v>
      </c>
      <c r="B41" s="39"/>
      <c r="C41" s="210">
        <v>2</v>
      </c>
      <c r="D41" s="210"/>
      <c r="E41" s="210">
        <v>2</v>
      </c>
      <c r="F41" s="210"/>
      <c r="G41" s="58"/>
      <c r="H41" s="216">
        <v>11.5</v>
      </c>
      <c r="I41" s="217" t="s">
        <v>53</v>
      </c>
      <c r="J41" s="37">
        <f>SUMPRODUCT($C$12:$F$12,C41:F41)*H41</f>
        <v>1840</v>
      </c>
    </row>
    <row r="42" spans="1:11">
      <c r="A42" s="213" t="s">
        <v>54</v>
      </c>
      <c r="B42" s="39"/>
      <c r="C42" s="210">
        <v>1</v>
      </c>
      <c r="D42" s="210"/>
      <c r="E42" s="210">
        <v>1</v>
      </c>
      <c r="F42" s="210"/>
      <c r="G42" s="58"/>
      <c r="H42" s="216">
        <v>14</v>
      </c>
      <c r="I42" s="217" t="s">
        <v>55</v>
      </c>
      <c r="J42" s="37">
        <f t="shared" ref="J42:J48" si="1">SUMPRODUCT($C$12:$F$12,C42:F42)*H42</f>
        <v>1120</v>
      </c>
    </row>
    <row r="43" spans="1:11">
      <c r="A43" s="213" t="s">
        <v>56</v>
      </c>
      <c r="B43" s="39"/>
      <c r="C43" s="210"/>
      <c r="D43" s="210"/>
      <c r="E43" s="210"/>
      <c r="F43" s="210"/>
      <c r="G43" s="58"/>
      <c r="H43" s="216">
        <v>8</v>
      </c>
      <c r="I43" s="217" t="s">
        <v>57</v>
      </c>
      <c r="J43" s="37">
        <f t="shared" si="1"/>
        <v>0</v>
      </c>
    </row>
    <row r="44" spans="1:11">
      <c r="A44" s="213" t="s">
        <v>58</v>
      </c>
      <c r="B44" s="39"/>
      <c r="C44" s="210"/>
      <c r="D44" s="210">
        <v>64</v>
      </c>
      <c r="E44" s="210"/>
      <c r="F44" s="210">
        <v>64</v>
      </c>
      <c r="G44" s="58"/>
      <c r="H44" s="216">
        <v>0.09</v>
      </c>
      <c r="I44" s="217" t="s">
        <v>55</v>
      </c>
      <c r="J44" s="37">
        <f t="shared" si="1"/>
        <v>460.79999999999995</v>
      </c>
    </row>
    <row r="45" spans="1:11">
      <c r="A45" s="213" t="s">
        <v>59</v>
      </c>
      <c r="B45" s="39"/>
      <c r="C45" s="210"/>
      <c r="D45" s="210">
        <v>3.4</v>
      </c>
      <c r="E45" s="210"/>
      <c r="F45" s="210">
        <v>3.4</v>
      </c>
      <c r="G45" s="58"/>
      <c r="H45" s="216">
        <v>0.5</v>
      </c>
      <c r="I45" s="217" t="s">
        <v>45</v>
      </c>
      <c r="J45" s="37">
        <f t="shared" si="1"/>
        <v>136</v>
      </c>
    </row>
    <row r="46" spans="1:11">
      <c r="A46" s="213" t="s">
        <v>60</v>
      </c>
      <c r="B46" s="39"/>
      <c r="C46" s="210"/>
      <c r="D46" s="210"/>
      <c r="E46" s="210"/>
      <c r="F46" s="210"/>
      <c r="G46" s="58"/>
      <c r="H46" s="216">
        <v>4.75</v>
      </c>
      <c r="I46" s="217" t="s">
        <v>53</v>
      </c>
      <c r="J46" s="37">
        <f t="shared" si="1"/>
        <v>0</v>
      </c>
    </row>
    <row r="47" spans="1:11">
      <c r="A47" s="213" t="s">
        <v>61</v>
      </c>
      <c r="B47" s="39"/>
      <c r="C47" s="210"/>
      <c r="D47" s="210"/>
      <c r="E47" s="210"/>
      <c r="F47" s="210"/>
      <c r="G47" s="58"/>
      <c r="H47" s="216">
        <v>11.5</v>
      </c>
      <c r="I47" s="217" t="s">
        <v>55</v>
      </c>
      <c r="J47" s="37">
        <f t="shared" si="1"/>
        <v>0</v>
      </c>
    </row>
    <row r="48" spans="1:11">
      <c r="A48" s="213" t="s">
        <v>49</v>
      </c>
      <c r="B48" s="39"/>
      <c r="C48" s="210"/>
      <c r="D48" s="210"/>
      <c r="E48" s="210"/>
      <c r="F48" s="210"/>
      <c r="G48" s="58"/>
      <c r="H48" s="216"/>
      <c r="I48" s="218"/>
      <c r="J48" s="37">
        <f t="shared" si="1"/>
        <v>0</v>
      </c>
    </row>
    <row r="49" spans="1:12" s="11" customFormat="1">
      <c r="A49" s="45" t="s">
        <v>62</v>
      </c>
      <c r="B49" s="45"/>
      <c r="C49" s="46">
        <f>SUMPRODUCT(C41:C48,$H$41:$H$48)</f>
        <v>37</v>
      </c>
      <c r="D49" s="46">
        <f>SUMPRODUCT(D41:D48,$H$41:$H$48)</f>
        <v>7.46</v>
      </c>
      <c r="E49" s="46">
        <f>SUMPRODUCT(E41:E48,$H$41:$H$48)</f>
        <v>37</v>
      </c>
      <c r="F49" s="46">
        <f>SUMPRODUCT(F41:F48,$H$41:$H$48)</f>
        <v>7.46</v>
      </c>
      <c r="G49" s="45"/>
      <c r="H49" s="45"/>
      <c r="I49" s="45"/>
      <c r="J49" s="44">
        <f>SUMPRODUCT($C$12:$F$12,C49:F49)</f>
        <v>3556.8</v>
      </c>
      <c r="L49" s="59"/>
    </row>
    <row r="51" spans="1:12">
      <c r="A51" s="32" t="s">
        <v>63</v>
      </c>
      <c r="B51" s="51"/>
      <c r="C51" s="31" t="str">
        <f>$C$11</f>
        <v>Irr Corn</v>
      </c>
      <c r="D51" s="31" t="str">
        <f>$D$11</f>
        <v>Irr Soybeans</v>
      </c>
      <c r="E51" s="31" t="str">
        <f>$E$11</f>
        <v>Dry Corn</v>
      </c>
      <c r="F51" s="31" t="str">
        <f>$F$11</f>
        <v>Dry Soybeans</v>
      </c>
      <c r="G51" s="35" t="s">
        <v>39</v>
      </c>
      <c r="H51" s="31" t="s">
        <v>40</v>
      </c>
      <c r="I51" s="35" t="s">
        <v>41</v>
      </c>
      <c r="J51" s="35" t="s">
        <v>23</v>
      </c>
    </row>
    <row r="52" spans="1:12">
      <c r="A52" s="213" t="s">
        <v>64</v>
      </c>
      <c r="B52" s="18"/>
      <c r="C52" s="209"/>
      <c r="D52" s="209">
        <v>1.5</v>
      </c>
      <c r="E52" s="209"/>
      <c r="F52" s="209">
        <v>1.5</v>
      </c>
      <c r="H52" s="216">
        <v>2.5</v>
      </c>
      <c r="I52" s="217" t="s">
        <v>57</v>
      </c>
      <c r="J52" s="37">
        <f>SUMPRODUCT($C$12:$F$12,C52:F52)*H52</f>
        <v>300</v>
      </c>
    </row>
    <row r="53" spans="1:12">
      <c r="A53" s="213" t="s">
        <v>65</v>
      </c>
      <c r="B53" s="18"/>
      <c r="C53" s="209"/>
      <c r="D53" s="209"/>
      <c r="E53" s="209"/>
      <c r="F53" s="209"/>
      <c r="H53" s="216">
        <v>1.8</v>
      </c>
      <c r="I53" s="217" t="s">
        <v>55</v>
      </c>
      <c r="J53" s="37">
        <f>SUMPRODUCT($C$12:$F$12,C53:F53)*H53</f>
        <v>0</v>
      </c>
    </row>
    <row r="54" spans="1:12">
      <c r="A54" s="213" t="s">
        <v>66</v>
      </c>
      <c r="B54" s="18"/>
      <c r="C54" s="209"/>
      <c r="D54" s="209"/>
      <c r="E54" s="209"/>
      <c r="F54" s="209"/>
      <c r="H54" s="216">
        <v>6.15</v>
      </c>
      <c r="I54" s="217" t="s">
        <v>55</v>
      </c>
      <c r="J54" s="37">
        <f>SUMPRODUCT($C$12:$F$12,C54:F54)*H54</f>
        <v>0</v>
      </c>
    </row>
    <row r="55" spans="1:12">
      <c r="A55" s="213" t="s">
        <v>67</v>
      </c>
      <c r="B55" s="18"/>
      <c r="C55" s="209"/>
      <c r="D55" s="209"/>
      <c r="E55" s="209"/>
      <c r="F55" s="209"/>
      <c r="H55" s="216">
        <v>3.1</v>
      </c>
      <c r="I55" s="217" t="s">
        <v>55</v>
      </c>
      <c r="J55" s="37">
        <f>SUMPRODUCT($C$12:$F$12,C55:F55)*H55</f>
        <v>0</v>
      </c>
    </row>
    <row r="56" spans="1:12">
      <c r="A56" s="213" t="s">
        <v>49</v>
      </c>
      <c r="B56" s="18"/>
      <c r="C56" s="209"/>
      <c r="D56" s="209"/>
      <c r="E56" s="209"/>
      <c r="F56" s="209"/>
      <c r="H56" s="216"/>
      <c r="I56" s="218"/>
      <c r="J56" s="37">
        <f>SUMPRODUCT($C$12:$F$12,C56:F56)*H56</f>
        <v>0</v>
      </c>
    </row>
    <row r="57" spans="1:12" s="11" customFormat="1">
      <c r="A57" s="45" t="s">
        <v>68</v>
      </c>
      <c r="B57" s="45"/>
      <c r="C57" s="46">
        <f>SUMPRODUCT(C52:C56,$H$52:$H$56)</f>
        <v>0</v>
      </c>
      <c r="D57" s="46">
        <f>SUMPRODUCT(D52:D56,$H$52:$H$56)</f>
        <v>3.75</v>
      </c>
      <c r="E57" s="46">
        <f>SUMPRODUCT(E52:E56,$H$52:$H$56)</f>
        <v>0</v>
      </c>
      <c r="F57" s="46">
        <f>SUMPRODUCT(F52:F56,$H$52:$H$56)</f>
        <v>3.75</v>
      </c>
      <c r="G57" s="45"/>
      <c r="H57" s="45"/>
      <c r="I57" s="45"/>
      <c r="J57" s="44">
        <f>SUMPRODUCT($C$12:$F$12,C57:F57)</f>
        <v>300</v>
      </c>
    </row>
    <row r="59" spans="1:12">
      <c r="A59" s="32" t="s">
        <v>69</v>
      </c>
      <c r="B59" s="60"/>
      <c r="C59" s="31" t="str">
        <f>$C$11</f>
        <v>Irr Corn</v>
      </c>
      <c r="D59" s="31" t="str">
        <f>$D$11</f>
        <v>Irr Soybeans</v>
      </c>
      <c r="E59" s="31" t="str">
        <f>$E$11</f>
        <v>Dry Corn</v>
      </c>
      <c r="F59" s="31" t="str">
        <f>$F$11</f>
        <v>Dry Soybeans</v>
      </c>
      <c r="G59" s="35"/>
      <c r="H59" s="31"/>
      <c r="I59" s="35"/>
      <c r="J59" s="35" t="s">
        <v>23</v>
      </c>
      <c r="K59" s="25"/>
    </row>
    <row r="60" spans="1:12">
      <c r="A60" s="18" t="s">
        <v>70</v>
      </c>
      <c r="B60" s="18"/>
      <c r="C60" s="232"/>
      <c r="D60" s="232"/>
      <c r="E60" s="232"/>
      <c r="F60" s="232"/>
      <c r="H60" s="18"/>
      <c r="I60" s="18"/>
      <c r="J60" s="37">
        <f>SUMPRODUCT($C$12:$F$12,C60:F60)</f>
        <v>0</v>
      </c>
    </row>
    <row r="61" spans="1:12">
      <c r="A61" s="18" t="s">
        <v>71</v>
      </c>
      <c r="B61" s="18"/>
      <c r="C61" s="232"/>
      <c r="D61" s="232"/>
      <c r="E61" s="232"/>
      <c r="F61" s="232"/>
      <c r="H61" s="18"/>
      <c r="I61" s="18"/>
      <c r="J61" s="37">
        <f>SUMPRODUCT($C$12:$F$12,C61:F61)</f>
        <v>0</v>
      </c>
    </row>
    <row r="62" spans="1:12">
      <c r="A62" s="213" t="s">
        <v>49</v>
      </c>
      <c r="B62" s="18"/>
      <c r="C62" s="232">
        <v>30</v>
      </c>
      <c r="D62" s="232">
        <v>19</v>
      </c>
      <c r="E62" s="232">
        <v>19</v>
      </c>
      <c r="F62" s="232">
        <v>14</v>
      </c>
      <c r="H62" s="18"/>
      <c r="I62" s="18"/>
      <c r="J62" s="37">
        <f>SUMPRODUCT($C$12:$F$12,C62:F62)</f>
        <v>3680</v>
      </c>
    </row>
    <row r="63" spans="1:12">
      <c r="A63" s="213" t="s">
        <v>49</v>
      </c>
      <c r="B63" s="18"/>
      <c r="C63" s="232"/>
      <c r="D63" s="232"/>
      <c r="E63" s="232"/>
      <c r="F63" s="232"/>
      <c r="H63" s="18"/>
      <c r="I63" s="18"/>
      <c r="J63" s="37">
        <f>SUMPRODUCT($C$12:$F$12,C63:F63)</f>
        <v>0</v>
      </c>
    </row>
    <row r="64" spans="1:12" s="11" customFormat="1">
      <c r="A64" s="45" t="s">
        <v>72</v>
      </c>
      <c r="B64" s="39"/>
      <c r="C64" s="46">
        <f>SUM(C59:C63)</f>
        <v>30</v>
      </c>
      <c r="D64" s="46">
        <f>SUM(D59:D63)</f>
        <v>19</v>
      </c>
      <c r="E64" s="46">
        <f>SUM(E59:E63)</f>
        <v>19</v>
      </c>
      <c r="F64" s="46">
        <f>SUM(F59:F63)</f>
        <v>14</v>
      </c>
      <c r="G64" s="45"/>
      <c r="H64" s="39"/>
      <c r="I64" s="39"/>
      <c r="J64" s="44">
        <f>SUMPRODUCT($C$12:$F$12,C64:F64)</f>
        <v>3680</v>
      </c>
    </row>
    <row r="65" spans="1:10">
      <c r="C65" s="37"/>
      <c r="D65" s="37"/>
      <c r="E65" s="37"/>
      <c r="F65" s="37"/>
      <c r="J65" s="44"/>
    </row>
    <row r="66" spans="1:10">
      <c r="A66" s="32" t="s">
        <v>73</v>
      </c>
      <c r="B66" s="51"/>
      <c r="C66" s="31" t="str">
        <f>$C$11</f>
        <v>Irr Corn</v>
      </c>
      <c r="D66" s="31" t="str">
        <f>$D$11</f>
        <v>Irr Soybeans</v>
      </c>
      <c r="E66" s="31" t="str">
        <f>$E$11</f>
        <v>Dry Corn</v>
      </c>
      <c r="F66" s="31" t="str">
        <f>$F$11</f>
        <v>Dry Soybeans</v>
      </c>
      <c r="G66" s="35"/>
      <c r="H66" s="31"/>
      <c r="I66" s="35"/>
      <c r="J66" s="35" t="s">
        <v>23</v>
      </c>
    </row>
    <row r="67" spans="1:10">
      <c r="A67" s="18" t="s">
        <v>74</v>
      </c>
      <c r="B67" s="18"/>
      <c r="C67" s="219">
        <v>8.75</v>
      </c>
      <c r="D67" s="219">
        <v>8</v>
      </c>
      <c r="E67" s="219"/>
      <c r="F67" s="219"/>
      <c r="H67" s="61"/>
      <c r="I67" s="62"/>
      <c r="J67" s="37">
        <f>SUMPRODUCT($C$12:$F$12,C67:F67)</f>
        <v>1088.75</v>
      </c>
    </row>
    <row r="68" spans="1:10">
      <c r="A68" t="s">
        <v>75</v>
      </c>
      <c r="B68" s="18"/>
      <c r="C68" s="37">
        <f>C67</f>
        <v>8.75</v>
      </c>
      <c r="D68" s="37">
        <f>D67</f>
        <v>8</v>
      </c>
      <c r="E68" s="37">
        <f>E67</f>
        <v>0</v>
      </c>
      <c r="F68" s="37">
        <f>F67</f>
        <v>0</v>
      </c>
      <c r="J68" s="44">
        <f>SUMPRODUCT($C$12:$F$12,C68:F68)</f>
        <v>1088.75</v>
      </c>
    </row>
    <row r="69" spans="1:10">
      <c r="B69" s="18"/>
    </row>
    <row r="70" spans="1:10">
      <c r="A70" s="32" t="s">
        <v>76</v>
      </c>
      <c r="B70" s="60"/>
      <c r="C70" s="31" t="str">
        <f>$C$11</f>
        <v>Irr Corn</v>
      </c>
      <c r="D70" s="31" t="str">
        <f>$D$11</f>
        <v>Irr Soybeans</v>
      </c>
      <c r="E70" s="31" t="str">
        <f>$E$11</f>
        <v>Dry Corn</v>
      </c>
      <c r="F70" s="31" t="str">
        <f>$F$11</f>
        <v>Dry Soybeans</v>
      </c>
      <c r="G70" s="35" t="s">
        <v>39</v>
      </c>
      <c r="H70" s="31" t="s">
        <v>40</v>
      </c>
      <c r="I70" s="35" t="s">
        <v>41</v>
      </c>
      <c r="J70" s="35" t="s">
        <v>23</v>
      </c>
    </row>
    <row r="71" spans="1:10">
      <c r="A71" s="63" t="s">
        <v>77</v>
      </c>
      <c r="B71" s="64"/>
    </row>
    <row r="72" spans="1:10">
      <c r="A72" s="213" t="s">
        <v>78</v>
      </c>
      <c r="B72" s="18"/>
      <c r="C72" s="209">
        <v>1</v>
      </c>
      <c r="D72" s="209"/>
      <c r="E72" s="209">
        <v>1</v>
      </c>
      <c r="F72" s="209"/>
      <c r="H72" s="216">
        <v>10</v>
      </c>
      <c r="I72" s="213" t="s">
        <v>79</v>
      </c>
      <c r="J72" s="37">
        <f>SUMPRODUCT($C$12:$F$12,C72:F72)*H72</f>
        <v>800</v>
      </c>
    </row>
    <row r="73" spans="1:10">
      <c r="A73" s="213" t="s">
        <v>80</v>
      </c>
      <c r="B73" s="18"/>
      <c r="C73" s="209"/>
      <c r="D73" s="209">
        <v>1</v>
      </c>
      <c r="E73" s="209"/>
      <c r="F73" s="209">
        <v>1</v>
      </c>
      <c r="H73" s="216">
        <v>10</v>
      </c>
      <c r="I73" s="213" t="s">
        <v>79</v>
      </c>
      <c r="J73" s="37">
        <f t="shared" ref="J73:J84" si="2">SUMPRODUCT($C$12:$F$12,C73:F73)*H73</f>
        <v>800</v>
      </c>
    </row>
    <row r="74" spans="1:10">
      <c r="A74" s="213" t="s">
        <v>81</v>
      </c>
      <c r="B74" s="18"/>
      <c r="C74" s="209"/>
      <c r="D74" s="209"/>
      <c r="E74" s="209"/>
      <c r="F74" s="209"/>
      <c r="H74" s="216">
        <v>4.2</v>
      </c>
      <c r="I74" s="213" t="s">
        <v>79</v>
      </c>
      <c r="J74" s="37">
        <f t="shared" si="2"/>
        <v>0</v>
      </c>
    </row>
    <row r="75" spans="1:10">
      <c r="A75" s="213" t="s">
        <v>82</v>
      </c>
      <c r="B75" s="18"/>
      <c r="C75" s="209"/>
      <c r="D75" s="209"/>
      <c r="E75" s="209"/>
      <c r="F75" s="209"/>
      <c r="H75" s="216">
        <v>3.5</v>
      </c>
      <c r="I75" s="213" t="s">
        <v>79</v>
      </c>
      <c r="J75" s="37">
        <f t="shared" si="2"/>
        <v>0</v>
      </c>
    </row>
    <row r="76" spans="1:10">
      <c r="A76" s="213" t="s">
        <v>83</v>
      </c>
      <c r="B76" s="18"/>
      <c r="C76" s="209"/>
      <c r="D76" s="209"/>
      <c r="E76" s="209"/>
      <c r="F76" s="209"/>
      <c r="H76" s="216">
        <v>2.2000000000000002</v>
      </c>
      <c r="I76" s="213" t="s">
        <v>79</v>
      </c>
      <c r="J76" s="37">
        <f t="shared" si="2"/>
        <v>0</v>
      </c>
    </row>
    <row r="77" spans="1:10">
      <c r="A77" s="213" t="s">
        <v>84</v>
      </c>
      <c r="B77" s="18"/>
      <c r="C77" s="209"/>
      <c r="D77" s="209"/>
      <c r="E77" s="209"/>
      <c r="F77" s="209"/>
      <c r="H77" s="216">
        <v>4.25</v>
      </c>
      <c r="I77" s="213" t="s">
        <v>79</v>
      </c>
      <c r="J77" s="37">
        <f t="shared" si="2"/>
        <v>0</v>
      </c>
    </row>
    <row r="78" spans="1:10">
      <c r="A78" s="213" t="s">
        <v>85</v>
      </c>
      <c r="B78" s="18"/>
      <c r="C78" s="209">
        <v>1</v>
      </c>
      <c r="D78" s="209"/>
      <c r="E78" s="209">
        <v>1</v>
      </c>
      <c r="F78" s="209"/>
      <c r="H78" s="216">
        <v>4.2</v>
      </c>
      <c r="I78" s="213" t="s">
        <v>79</v>
      </c>
      <c r="J78" s="37">
        <f t="shared" si="2"/>
        <v>336</v>
      </c>
    </row>
    <row r="79" spans="1:10">
      <c r="A79" s="213" t="s">
        <v>86</v>
      </c>
      <c r="B79" s="18"/>
      <c r="C79" s="209">
        <v>2</v>
      </c>
      <c r="D79" s="209">
        <v>2</v>
      </c>
      <c r="E79" s="209">
        <v>2</v>
      </c>
      <c r="F79" s="209">
        <v>2</v>
      </c>
      <c r="H79" s="216">
        <v>1.9</v>
      </c>
      <c r="I79" s="213" t="s">
        <v>79</v>
      </c>
      <c r="J79" s="37">
        <f t="shared" si="2"/>
        <v>608</v>
      </c>
    </row>
    <row r="80" spans="1:10">
      <c r="A80" s="213" t="s">
        <v>87</v>
      </c>
      <c r="B80" s="18"/>
      <c r="C80" s="209">
        <v>1</v>
      </c>
      <c r="D80" s="209">
        <v>1</v>
      </c>
      <c r="E80" s="209">
        <v>1</v>
      </c>
      <c r="F80" s="209">
        <v>1</v>
      </c>
      <c r="H80" s="216">
        <v>18</v>
      </c>
      <c r="I80" s="213" t="s">
        <v>79</v>
      </c>
      <c r="J80" s="37">
        <f t="shared" si="2"/>
        <v>2880</v>
      </c>
    </row>
    <row r="81" spans="1:10">
      <c r="A81" s="213" t="s">
        <v>88</v>
      </c>
      <c r="B81" s="18"/>
      <c r="C81" s="209">
        <v>1</v>
      </c>
      <c r="D81" s="209">
        <v>1</v>
      </c>
      <c r="E81" s="209">
        <v>1</v>
      </c>
      <c r="F81" s="209">
        <v>1</v>
      </c>
      <c r="H81" s="216">
        <v>2</v>
      </c>
      <c r="I81" s="213" t="s">
        <v>79</v>
      </c>
      <c r="J81" s="37">
        <f t="shared" si="2"/>
        <v>320</v>
      </c>
    </row>
    <row r="82" spans="1:10">
      <c r="A82" s="213" t="s">
        <v>49</v>
      </c>
      <c r="B82" s="18"/>
      <c r="C82" s="209"/>
      <c r="D82" s="209"/>
      <c r="E82" s="209"/>
      <c r="F82" s="209"/>
      <c r="H82" s="216"/>
      <c r="I82" s="213"/>
      <c r="J82" s="37">
        <f t="shared" si="2"/>
        <v>0</v>
      </c>
    </row>
    <row r="83" spans="1:10">
      <c r="A83" s="213" t="s">
        <v>49</v>
      </c>
      <c r="B83" s="18"/>
      <c r="C83" s="209"/>
      <c r="D83" s="209"/>
      <c r="E83" s="209"/>
      <c r="F83" s="209"/>
      <c r="H83" s="216"/>
      <c r="I83" s="221"/>
      <c r="J83" s="37">
        <f t="shared" si="2"/>
        <v>0</v>
      </c>
    </row>
    <row r="84" spans="1:10">
      <c r="A84" s="213" t="s">
        <v>49</v>
      </c>
      <c r="B84" s="18"/>
      <c r="C84" s="209"/>
      <c r="D84" s="209"/>
      <c r="E84" s="209"/>
      <c r="F84" s="209"/>
      <c r="H84" s="216"/>
      <c r="I84" s="221"/>
      <c r="J84" s="37">
        <f t="shared" si="2"/>
        <v>0</v>
      </c>
    </row>
    <row r="85" spans="1:10">
      <c r="A85" t="s">
        <v>89</v>
      </c>
      <c r="B85" s="18"/>
      <c r="C85" s="37">
        <f>SUMPRODUCT(C72:C84,$H$72:$H$84)</f>
        <v>38</v>
      </c>
      <c r="D85" s="37">
        <f>SUMPRODUCT(D72:D84,$H$72:$H$84)</f>
        <v>33.799999999999997</v>
      </c>
      <c r="E85" s="37">
        <f>SUMPRODUCT(E72:E84,$H$72:$H$84)</f>
        <v>38</v>
      </c>
      <c r="F85" s="37">
        <f>SUMPRODUCT(F72:F84,$H$72:$H$84)</f>
        <v>33.799999999999997</v>
      </c>
      <c r="J85" s="44">
        <f>SUMPRODUCT($C$12:$F$12,C85:F85)</f>
        <v>5744</v>
      </c>
    </row>
    <row r="87" spans="1:10">
      <c r="A87" s="32" t="s">
        <v>90</v>
      </c>
      <c r="B87" s="60"/>
      <c r="C87" s="31" t="str">
        <f>$C$11</f>
        <v>Irr Corn</v>
      </c>
      <c r="D87" s="31" t="str">
        <f>$D$11</f>
        <v>Irr Soybeans</v>
      </c>
      <c r="E87" s="31" t="str">
        <f>$E$11</f>
        <v>Dry Corn</v>
      </c>
      <c r="F87" s="31" t="str">
        <f>$F$11</f>
        <v>Dry Soybeans</v>
      </c>
      <c r="G87" s="35" t="s">
        <v>39</v>
      </c>
      <c r="H87" s="31" t="s">
        <v>40</v>
      </c>
      <c r="I87" s="35" t="s">
        <v>41</v>
      </c>
      <c r="J87" s="35" t="s">
        <v>23</v>
      </c>
    </row>
    <row r="88" spans="1:10">
      <c r="A88" s="213" t="s">
        <v>91</v>
      </c>
      <c r="B88" s="18"/>
      <c r="C88" s="209"/>
      <c r="D88" s="209"/>
      <c r="E88" s="209"/>
      <c r="F88" s="209"/>
      <c r="H88" s="216">
        <v>5</v>
      </c>
      <c r="I88" s="213" t="s">
        <v>79</v>
      </c>
      <c r="J88" s="37">
        <f>SUMPRODUCT($C$12:$F$12,C88:F88)*H88</f>
        <v>0</v>
      </c>
    </row>
    <row r="89" spans="1:10">
      <c r="A89" s="213" t="s">
        <v>92</v>
      </c>
      <c r="B89" s="18"/>
      <c r="C89" s="209"/>
      <c r="D89" s="209"/>
      <c r="E89" s="209"/>
      <c r="F89" s="209"/>
      <c r="H89" s="216">
        <v>6.25</v>
      </c>
      <c r="I89" s="213" t="s">
        <v>79</v>
      </c>
      <c r="J89" s="37">
        <f>SUMPRODUCT($C$12:$F$12,C89:F89)*H89</f>
        <v>0</v>
      </c>
    </row>
    <row r="90" spans="1:10">
      <c r="A90" s="213" t="s">
        <v>49</v>
      </c>
      <c r="C90" s="209"/>
      <c r="D90" s="209"/>
      <c r="E90" s="209"/>
      <c r="F90" s="209"/>
      <c r="H90" s="216"/>
      <c r="I90" s="213"/>
      <c r="J90" s="37">
        <f>SUMPRODUCT($C$12:$F$12,C90:F90)*H90</f>
        <v>0</v>
      </c>
    </row>
    <row r="91" spans="1:10">
      <c r="A91" s="213" t="s">
        <v>49</v>
      </c>
      <c r="B91" s="18"/>
      <c r="C91" s="209"/>
      <c r="D91" s="209"/>
      <c r="E91" s="209"/>
      <c r="F91" s="209"/>
      <c r="H91" s="216"/>
      <c r="I91" s="213"/>
      <c r="J91" s="37">
        <f>SUMPRODUCT($C$12:$F$12,C91:F91)*H91</f>
        <v>0</v>
      </c>
    </row>
    <row r="92" spans="1:10">
      <c r="A92" t="s">
        <v>93</v>
      </c>
      <c r="B92" s="18"/>
      <c r="C92" s="37">
        <f>SUMPRODUCT(C88:C91,$H$88:$H$91)</f>
        <v>0</v>
      </c>
      <c r="D92" s="37">
        <f>SUMPRODUCT(D88:D91,$H$88:$H$91)</f>
        <v>0</v>
      </c>
      <c r="E92" s="37">
        <f>SUMPRODUCT(E88:E91,$H$88:$H$91)</f>
        <v>0</v>
      </c>
      <c r="F92" s="37">
        <f>SUMPRODUCT(F88:F91,$H$88:$H$91)</f>
        <v>0</v>
      </c>
      <c r="J92" s="44">
        <f>SUMPRODUCT($C$12:$F$12,C92:F92)</f>
        <v>0</v>
      </c>
    </row>
    <row r="94" spans="1:10">
      <c r="A94" s="32" t="s">
        <v>94</v>
      </c>
      <c r="B94" s="60"/>
      <c r="C94" s="31" t="str">
        <f>C11</f>
        <v>Irr Corn</v>
      </c>
      <c r="D94" s="31" t="str">
        <f>D11</f>
        <v>Irr Soybeans</v>
      </c>
      <c r="E94" s="31" t="str">
        <f>E11</f>
        <v>Dry Corn</v>
      </c>
      <c r="F94" s="31" t="str">
        <f>F11</f>
        <v>Dry Soybeans</v>
      </c>
      <c r="G94" s="35" t="s">
        <v>39</v>
      </c>
      <c r="H94" s="31" t="s">
        <v>40</v>
      </c>
      <c r="I94" s="35" t="s">
        <v>41</v>
      </c>
      <c r="J94" s="35" t="s">
        <v>23</v>
      </c>
    </row>
    <row r="95" spans="1:10">
      <c r="A95" s="63" t="s">
        <v>95</v>
      </c>
      <c r="B95" s="64"/>
    </row>
    <row r="96" spans="1:10">
      <c r="A96" s="18" t="s">
        <v>96</v>
      </c>
      <c r="B96" s="18"/>
      <c r="C96" s="209">
        <v>3.1</v>
      </c>
      <c r="D96" s="209">
        <v>2.8</v>
      </c>
      <c r="E96" s="209"/>
      <c r="F96" s="209"/>
      <c r="H96" s="222">
        <v>18</v>
      </c>
      <c r="I96" s="213" t="s">
        <v>97</v>
      </c>
      <c r="J96" s="37">
        <f>SUMPRODUCT($C$12:$F$12,C96:F96)*H96</f>
        <v>6903</v>
      </c>
    </row>
    <row r="97" spans="1:10">
      <c r="A97" t="s">
        <v>98</v>
      </c>
      <c r="B97" s="18"/>
      <c r="C97" s="37">
        <f>C96*$H$96</f>
        <v>55.800000000000004</v>
      </c>
      <c r="D97" s="37">
        <f>D96*$H$96</f>
        <v>50.4</v>
      </c>
      <c r="E97" s="37">
        <f>E96*$H$96</f>
        <v>0</v>
      </c>
      <c r="F97" s="37">
        <f>F96*$H$96</f>
        <v>0</v>
      </c>
      <c r="J97" s="44">
        <f>SUMPRODUCT($C$12:$F$12,C97:F97)</f>
        <v>6903</v>
      </c>
    </row>
    <row r="99" spans="1:10">
      <c r="A99" s="32" t="s">
        <v>303</v>
      </c>
      <c r="B99" s="60"/>
      <c r="C99" s="31" t="str">
        <f>$C$11</f>
        <v>Irr Corn</v>
      </c>
      <c r="D99" s="31" t="str">
        <f>$D$11</f>
        <v>Irr Soybeans</v>
      </c>
      <c r="E99" s="31" t="str">
        <f>$E$11</f>
        <v>Dry Corn</v>
      </c>
      <c r="F99" s="31" t="str">
        <f>$F$11</f>
        <v>Dry Soybeans</v>
      </c>
      <c r="G99" s="35" t="s">
        <v>39</v>
      </c>
      <c r="H99" s="31" t="s">
        <v>40</v>
      </c>
      <c r="I99" s="35" t="s">
        <v>41</v>
      </c>
      <c r="J99" s="35" t="s">
        <v>23</v>
      </c>
    </row>
    <row r="100" spans="1:10">
      <c r="A100" s="223" t="s">
        <v>302</v>
      </c>
      <c r="B100" s="18"/>
      <c r="C100" s="209">
        <v>1</v>
      </c>
      <c r="D100" s="209">
        <v>1</v>
      </c>
      <c r="E100" s="209">
        <v>1</v>
      </c>
      <c r="F100" s="209">
        <v>1</v>
      </c>
      <c r="H100" s="222">
        <v>25</v>
      </c>
      <c r="I100" s="213" t="s">
        <v>97</v>
      </c>
      <c r="J100" s="37">
        <f>SUMPRODUCT($C$12:$F$12,C100:F100)*H100</f>
        <v>4000</v>
      </c>
    </row>
    <row r="101" spans="1:10">
      <c r="A101" s="213" t="s">
        <v>99</v>
      </c>
      <c r="B101" s="18"/>
      <c r="C101" s="209">
        <v>0.75</v>
      </c>
      <c r="D101" s="209">
        <v>0.75</v>
      </c>
      <c r="E101" s="209"/>
      <c r="F101" s="209"/>
      <c r="H101" s="222">
        <v>15</v>
      </c>
      <c r="I101" s="213" t="s">
        <v>97</v>
      </c>
      <c r="J101" s="37">
        <f>SUMPRODUCT($C$12:$F$12,C101:F101)*H101</f>
        <v>1462.5</v>
      </c>
    </row>
    <row r="102" spans="1:10">
      <c r="A102" s="213" t="s">
        <v>100</v>
      </c>
      <c r="B102" s="18"/>
      <c r="C102" s="209"/>
      <c r="D102" s="209"/>
      <c r="E102" s="209"/>
      <c r="F102" s="209"/>
      <c r="H102" s="222"/>
      <c r="I102" s="213"/>
      <c r="J102" s="37">
        <f>SUMPRODUCT($C$12:$F$12,C102:F102)*H102</f>
        <v>0</v>
      </c>
    </row>
    <row r="103" spans="1:10">
      <c r="A103" s="213" t="s">
        <v>49</v>
      </c>
      <c r="B103" s="18"/>
      <c r="C103" s="209"/>
      <c r="D103" s="209"/>
      <c r="E103" s="209"/>
      <c r="F103" s="209"/>
      <c r="H103" s="222"/>
      <c r="I103" s="213"/>
      <c r="J103" s="37">
        <f>SUMPRODUCT($C$12:$F$12,C103:F103)*H103</f>
        <v>0</v>
      </c>
    </row>
    <row r="104" spans="1:10">
      <c r="A104" t="s">
        <v>101</v>
      </c>
      <c r="B104" s="18"/>
      <c r="C104" s="37">
        <f>SUMPRODUCT(C100:C103,$H$100:$H$103)</f>
        <v>36.25</v>
      </c>
      <c r="D104" s="37">
        <f>SUMPRODUCT(D100:D103,$H$100:$H$103)</f>
        <v>36.25</v>
      </c>
      <c r="E104" s="37">
        <f>SUMPRODUCT(E100:E103,$H$100:$H$103)</f>
        <v>25</v>
      </c>
      <c r="F104" s="37">
        <f>SUMPRODUCT(F100:F103,$H$100:$H$103)</f>
        <v>25</v>
      </c>
      <c r="J104" s="44">
        <f>SUMPRODUCT($C$12:$F$12,C104:F104)</f>
        <v>5462.5</v>
      </c>
    </row>
    <row r="106" spans="1:10">
      <c r="A106" s="32" t="s">
        <v>102</v>
      </c>
      <c r="B106" s="60"/>
      <c r="C106" s="31" t="str">
        <f>$C$11</f>
        <v>Irr Corn</v>
      </c>
      <c r="D106" s="31" t="str">
        <f>$D$11</f>
        <v>Irr Soybeans</v>
      </c>
      <c r="E106" s="31" t="str">
        <f>$E$11</f>
        <v>Dry Corn</v>
      </c>
      <c r="F106" s="31" t="str">
        <f>$F$11</f>
        <v>Dry Soybeans</v>
      </c>
      <c r="G106" s="35" t="s">
        <v>39</v>
      </c>
      <c r="H106" s="31" t="s">
        <v>40</v>
      </c>
      <c r="I106" s="35" t="s">
        <v>41</v>
      </c>
      <c r="J106" s="35" t="s">
        <v>23</v>
      </c>
    </row>
    <row r="107" spans="1:10">
      <c r="A107" s="213" t="s">
        <v>103</v>
      </c>
      <c r="B107" s="18"/>
      <c r="C107" s="209">
        <v>1</v>
      </c>
      <c r="D107" s="209"/>
      <c r="E107" s="209">
        <v>1</v>
      </c>
      <c r="F107" s="209"/>
      <c r="H107" s="224">
        <v>0.03</v>
      </c>
      <c r="I107" s="213" t="s">
        <v>104</v>
      </c>
      <c r="J107" s="37">
        <f>($C$12*$C$17*C107*H107)+($D$12*$D$17*D107*H107)+($E$12*$E$17*E107*H107)+($F$12*$F$17*F107*H107)</f>
        <v>492</v>
      </c>
    </row>
    <row r="108" spans="1:10">
      <c r="A108" s="213" t="s">
        <v>105</v>
      </c>
      <c r="B108" s="18"/>
      <c r="C108" s="209">
        <v>3</v>
      </c>
      <c r="D108" s="209">
        <v>3</v>
      </c>
      <c r="E108" s="209">
        <v>3</v>
      </c>
      <c r="F108" s="209">
        <v>3</v>
      </c>
      <c r="H108" s="224">
        <v>0.03</v>
      </c>
      <c r="I108" s="213" t="s">
        <v>106</v>
      </c>
      <c r="J108" s="37">
        <f>($C$12*$C$17*C108*H108)+($D$12*$D$17*D108*H108)+($E$12*$E$17*E108*H108)+($F$12*$F$17*F108*H108)</f>
        <v>1887.75</v>
      </c>
    </row>
    <row r="109" spans="1:10">
      <c r="A109" s="213" t="s">
        <v>107</v>
      </c>
      <c r="B109" s="18"/>
      <c r="C109" s="209">
        <v>1</v>
      </c>
      <c r="D109" s="209">
        <v>1</v>
      </c>
      <c r="E109" s="209">
        <v>1</v>
      </c>
      <c r="F109" s="209">
        <v>1</v>
      </c>
      <c r="H109" s="224">
        <v>0.08</v>
      </c>
      <c r="I109" s="213" t="s">
        <v>108</v>
      </c>
      <c r="J109" s="37">
        <f>($C$12*$C$17*C109*H109)+($D$12*$D$17*D109*H109)+($E$12*$E$17*E109*H109)+($F$12*$F$17*F109*H109)</f>
        <v>1678</v>
      </c>
    </row>
    <row r="110" spans="1:10">
      <c r="A110" s="213" t="s">
        <v>49</v>
      </c>
      <c r="B110" s="18"/>
      <c r="C110" s="209"/>
      <c r="D110" s="209"/>
      <c r="E110" s="209"/>
      <c r="F110" s="209"/>
      <c r="H110" s="216"/>
      <c r="I110" s="221"/>
      <c r="J110" s="37">
        <f>($C$12*$C$17*C110*H110)+($D$12*$D$17*D110*H110)+($E$12*$E$17*E110*H110)+($F$12*$F$17*F110*H110)</f>
        <v>0</v>
      </c>
    </row>
    <row r="111" spans="1:10">
      <c r="A111" t="s">
        <v>109</v>
      </c>
      <c r="B111" s="18"/>
      <c r="C111" s="37">
        <f>SUMPRODUCT(C107:C110,$H$107:$H$110)*C17</f>
        <v>44</v>
      </c>
      <c r="D111" s="37">
        <f>SUMPRODUCT(D107:D110,$H$107:$H$110)*D17</f>
        <v>10.199999999999999</v>
      </c>
      <c r="E111" s="37">
        <f>SUMPRODUCT(E107:E110,$H$107:$H$110)*E17</f>
        <v>28</v>
      </c>
      <c r="F111" s="37">
        <f>SUMPRODUCT(F107:F110,$H$107:$H$110)*F17</f>
        <v>7.6499999999999995</v>
      </c>
      <c r="J111" s="44">
        <f>SUMPRODUCT($C$12:$F$12,C111:F111)</f>
        <v>4057.75</v>
      </c>
    </row>
    <row r="112" spans="1:10">
      <c r="B112" s="18"/>
    </row>
    <row r="113" spans="1:11">
      <c r="A113" s="32" t="s">
        <v>110</v>
      </c>
      <c r="B113" s="60"/>
      <c r="C113" s="31" t="str">
        <f>$C$11</f>
        <v>Irr Corn</v>
      </c>
      <c r="D113" s="31" t="str">
        <f>$D$11</f>
        <v>Irr Soybeans</v>
      </c>
      <c r="E113" s="31" t="str">
        <f>$E$11</f>
        <v>Dry Corn</v>
      </c>
      <c r="F113" s="31" t="str">
        <f>$F$11</f>
        <v>Dry Soybeans</v>
      </c>
      <c r="G113" s="35"/>
      <c r="H113" s="31"/>
      <c r="I113" s="35"/>
      <c r="J113" s="35" t="s">
        <v>23</v>
      </c>
    </row>
    <row r="114" spans="1:11">
      <c r="A114" s="213" t="s">
        <v>111</v>
      </c>
      <c r="B114" s="18"/>
      <c r="C114" s="212">
        <v>300</v>
      </c>
      <c r="D114" s="212">
        <v>300</v>
      </c>
      <c r="E114" s="212">
        <v>200</v>
      </c>
      <c r="F114" s="212">
        <v>200</v>
      </c>
      <c r="J114" s="37">
        <f>SUMPRODUCT($C$12:$F$12,C114:F114)</f>
        <v>45000</v>
      </c>
    </row>
    <row r="115" spans="1:11">
      <c r="A115" t="s">
        <v>112</v>
      </c>
      <c r="B115" s="18"/>
      <c r="C115" s="37">
        <f>C114*C13</f>
        <v>300</v>
      </c>
      <c r="D115" s="37">
        <f>D114*D13</f>
        <v>300</v>
      </c>
      <c r="E115" s="37">
        <f>E114*E13</f>
        <v>200</v>
      </c>
      <c r="F115" s="37">
        <f>F114*F13</f>
        <v>200</v>
      </c>
      <c r="J115" s="44">
        <f>SUMPRODUCT($C$12:$F$12,C115:F115)</f>
        <v>45000</v>
      </c>
    </row>
    <row r="116" spans="1:11">
      <c r="B116" s="18"/>
      <c r="C116" s="37"/>
      <c r="D116" s="37"/>
      <c r="E116" s="37"/>
      <c r="F116" s="37"/>
      <c r="J116" s="44"/>
    </row>
    <row r="117" spans="1:11">
      <c r="A117" s="32" t="s">
        <v>113</v>
      </c>
      <c r="B117" s="60"/>
      <c r="C117" s="31" t="str">
        <f>$C$11</f>
        <v>Irr Corn</v>
      </c>
      <c r="D117" s="31" t="str">
        <f>$D$11</f>
        <v>Irr Soybeans</v>
      </c>
      <c r="E117" s="31" t="str">
        <f>$E$11</f>
        <v>Dry Corn</v>
      </c>
      <c r="F117" s="31" t="str">
        <f>$F$11</f>
        <v>Dry Soybeans</v>
      </c>
      <c r="G117" s="35"/>
      <c r="H117" s="31"/>
      <c r="I117" s="35"/>
      <c r="J117" s="35" t="s">
        <v>23</v>
      </c>
    </row>
    <row r="118" spans="1:11">
      <c r="A118" s="213" t="s">
        <v>111</v>
      </c>
      <c r="B118" s="18"/>
      <c r="C118" s="212"/>
      <c r="D118" s="212"/>
      <c r="E118" s="212"/>
      <c r="F118" s="212"/>
      <c r="J118" s="37">
        <f>SUMPRODUCT($C$12:$F$12,C118:F118)</f>
        <v>0</v>
      </c>
    </row>
    <row r="119" spans="1:11">
      <c r="A119" t="s">
        <v>114</v>
      </c>
      <c r="B119" s="18"/>
      <c r="C119" s="37">
        <f>C118*C13</f>
        <v>0</v>
      </c>
      <c r="D119" s="37">
        <f>D118*D13</f>
        <v>0</v>
      </c>
      <c r="E119" s="37">
        <f>E118*E13</f>
        <v>0</v>
      </c>
      <c r="F119" s="37">
        <f>F118*F13</f>
        <v>0</v>
      </c>
      <c r="J119" s="44">
        <f>SUMPRODUCT($C$12:$F$12,C119:F119)</f>
        <v>0</v>
      </c>
    </row>
    <row r="120" spans="1:11">
      <c r="B120" s="18"/>
      <c r="C120" s="37"/>
      <c r="D120" s="37"/>
      <c r="E120" s="37"/>
      <c r="F120" s="37"/>
      <c r="J120" s="44"/>
    </row>
    <row r="121" spans="1:11" ht="13.5" thickBot="1">
      <c r="A121" s="248" t="s">
        <v>115</v>
      </c>
      <c r="B121" s="249"/>
      <c r="C121" s="249"/>
      <c r="D121" s="249"/>
      <c r="E121" s="249"/>
      <c r="F121" s="249"/>
      <c r="G121" s="249"/>
      <c r="H121" s="249"/>
      <c r="I121" s="249"/>
      <c r="J121" s="249"/>
      <c r="K121" s="25"/>
    </row>
    <row r="122" spans="1:11">
      <c r="A122" s="49"/>
      <c r="B122" s="50"/>
      <c r="C122" s="50"/>
      <c r="D122" s="50"/>
      <c r="E122" s="50"/>
      <c r="F122" s="50"/>
      <c r="G122" s="50"/>
      <c r="H122" s="50"/>
      <c r="I122" s="50"/>
      <c r="J122" s="50"/>
      <c r="K122" s="25"/>
    </row>
    <row r="123" spans="1:11">
      <c r="A123" s="32" t="s">
        <v>116</v>
      </c>
      <c r="B123" s="51"/>
      <c r="C123" s="31" t="str">
        <f>$C$11</f>
        <v>Irr Corn</v>
      </c>
      <c r="D123" s="31" t="str">
        <f>$D$11</f>
        <v>Irr Soybeans</v>
      </c>
      <c r="E123" s="31" t="str">
        <f>$E$11</f>
        <v>Dry Corn</v>
      </c>
      <c r="F123" s="31" t="str">
        <f>$F$11</f>
        <v>Dry Soybeans</v>
      </c>
      <c r="G123" s="33"/>
      <c r="H123" s="31"/>
      <c r="I123" s="33"/>
      <c r="J123" s="35" t="s">
        <v>23</v>
      </c>
    </row>
    <row r="124" spans="1:11">
      <c r="A124" t="s">
        <v>117</v>
      </c>
      <c r="C124" s="219">
        <v>38</v>
      </c>
      <c r="D124" s="219">
        <v>38</v>
      </c>
      <c r="E124" s="219">
        <v>28</v>
      </c>
      <c r="F124" s="219">
        <v>28</v>
      </c>
      <c r="H124" s="65"/>
      <c r="J124" s="37">
        <f>SUMPRODUCT($C$12:$F$12,C124:F124)</f>
        <v>5780</v>
      </c>
    </row>
    <row r="125" spans="1:11">
      <c r="A125" t="s">
        <v>118</v>
      </c>
      <c r="C125" s="37">
        <f>C124*C13</f>
        <v>38</v>
      </c>
      <c r="D125" s="37">
        <f>D124*D13</f>
        <v>38</v>
      </c>
      <c r="E125" s="37">
        <f>E124*E13</f>
        <v>28</v>
      </c>
      <c r="F125" s="37">
        <f>F124*F13</f>
        <v>28</v>
      </c>
      <c r="J125" s="44">
        <f>SUMPRODUCT($C$12:$F$12,C125:F125)</f>
        <v>5780</v>
      </c>
    </row>
    <row r="126" spans="1:11">
      <c r="A126" s="30"/>
      <c r="B126" s="43"/>
      <c r="C126" s="48"/>
      <c r="D126" s="48"/>
      <c r="E126" s="48"/>
      <c r="F126" s="48"/>
      <c r="G126" s="66"/>
      <c r="H126" s="48"/>
      <c r="I126" s="66"/>
      <c r="J126" s="66"/>
      <c r="K126" s="25"/>
    </row>
    <row r="127" spans="1:11">
      <c r="A127" s="32" t="s">
        <v>119</v>
      </c>
      <c r="B127" s="33"/>
      <c r="C127" s="31" t="str">
        <f>$C$11</f>
        <v>Irr Corn</v>
      </c>
      <c r="D127" s="31" t="str">
        <f>$D$11</f>
        <v>Irr Soybeans</v>
      </c>
      <c r="E127" s="31" t="str">
        <f>$E$11</f>
        <v>Dry Corn</v>
      </c>
      <c r="F127" s="31" t="str">
        <f>$F$11</f>
        <v>Dry Soybeans</v>
      </c>
      <c r="G127" s="35" t="s">
        <v>39</v>
      </c>
      <c r="H127" s="31" t="s">
        <v>40</v>
      </c>
      <c r="I127" s="35" t="s">
        <v>41</v>
      </c>
      <c r="J127" s="35" t="s">
        <v>23</v>
      </c>
    </row>
    <row r="128" spans="1:11">
      <c r="A128" s="18" t="s">
        <v>120</v>
      </c>
      <c r="B128" s="18"/>
      <c r="C128" s="209"/>
      <c r="D128" s="209"/>
      <c r="E128" s="209"/>
      <c r="F128" s="209"/>
      <c r="H128" s="216">
        <v>0.02</v>
      </c>
      <c r="I128" s="217" t="s">
        <v>45</v>
      </c>
      <c r="J128" s="37">
        <f>SUMPRODUCT($C$12:$F$12,C128:F128)*H128</f>
        <v>0</v>
      </c>
    </row>
    <row r="129" spans="1:16">
      <c r="A129" t="s">
        <v>121</v>
      </c>
      <c r="C129" s="37">
        <f>C128*$H$128</f>
        <v>0</v>
      </c>
      <c r="D129" s="37">
        <f>D128*$H$128</f>
        <v>0</v>
      </c>
      <c r="E129" s="37">
        <f>E128*$H$128</f>
        <v>0</v>
      </c>
      <c r="F129" s="37">
        <f>F128*$H$128</f>
        <v>0</v>
      </c>
      <c r="J129" s="44">
        <f>SUMPRODUCT($C$12:$F$12,C129:F129)</f>
        <v>0</v>
      </c>
    </row>
    <row r="131" spans="1:16">
      <c r="A131" s="32" t="s">
        <v>76</v>
      </c>
      <c r="B131" s="51"/>
      <c r="C131" s="31" t="str">
        <f>$C$11</f>
        <v>Irr Corn</v>
      </c>
      <c r="D131" s="31" t="str">
        <f>$D$11</f>
        <v>Irr Soybeans</v>
      </c>
      <c r="E131" s="31" t="str">
        <f>$E$11</f>
        <v>Dry Corn</v>
      </c>
      <c r="F131" s="31" t="str">
        <f>$F$11</f>
        <v>Dry Soybeans</v>
      </c>
      <c r="G131" s="35" t="s">
        <v>39</v>
      </c>
      <c r="H131" s="31" t="s">
        <v>40</v>
      </c>
      <c r="I131" s="35" t="s">
        <v>41</v>
      </c>
      <c r="J131" s="35" t="s">
        <v>23</v>
      </c>
    </row>
    <row r="132" spans="1:16">
      <c r="A132" s="63" t="s">
        <v>122</v>
      </c>
      <c r="B132" s="67"/>
      <c r="C132" s="68"/>
      <c r="D132" s="68"/>
      <c r="E132" s="68"/>
    </row>
    <row r="133" spans="1:16">
      <c r="A133" s="39" t="str">
        <f>A72</f>
        <v xml:space="preserve">   No-Till Plant</v>
      </c>
      <c r="B133" s="67"/>
      <c r="C133" s="69">
        <f t="shared" ref="C133:F137" si="3">IF(C72,C72,"")</f>
        <v>1</v>
      </c>
      <c r="D133" s="69" t="str">
        <f t="shared" si="3"/>
        <v/>
      </c>
      <c r="E133" s="69">
        <f t="shared" si="3"/>
        <v>1</v>
      </c>
      <c r="F133" s="69" t="str">
        <f t="shared" si="3"/>
        <v/>
      </c>
      <c r="H133" s="216">
        <v>4</v>
      </c>
      <c r="I133" s="62" t="str">
        <f>I72</f>
        <v>acre</v>
      </c>
      <c r="J133" s="37">
        <f>SUMPRODUCT($C$12:$F$12,C133:F133)*H133</f>
        <v>320</v>
      </c>
      <c r="L133" s="231"/>
      <c r="M133" s="82"/>
      <c r="N133" s="82"/>
      <c r="O133" s="82"/>
      <c r="P133" s="82"/>
    </row>
    <row r="134" spans="1:16">
      <c r="A134" s="39" t="str">
        <f>A73</f>
        <v xml:space="preserve">   No-Till Drill</v>
      </c>
      <c r="B134" s="67"/>
      <c r="C134" s="69" t="str">
        <f t="shared" si="3"/>
        <v/>
      </c>
      <c r="D134" s="69">
        <f t="shared" si="3"/>
        <v>1</v>
      </c>
      <c r="E134" s="69" t="str">
        <f t="shared" si="3"/>
        <v/>
      </c>
      <c r="F134" s="69">
        <f t="shared" si="3"/>
        <v>1</v>
      </c>
      <c r="H134" s="216">
        <v>4.5</v>
      </c>
      <c r="I134" s="62" t="str">
        <f>I73</f>
        <v>acre</v>
      </c>
      <c r="J134" s="37">
        <f t="shared" ref="J134:J145" si="4">SUMPRODUCT($C$12:$F$12,C134:F134)*H134</f>
        <v>360</v>
      </c>
      <c r="L134" s="231"/>
      <c r="M134" s="82"/>
      <c r="N134" s="82"/>
      <c r="O134" s="82"/>
      <c r="P134" s="82"/>
    </row>
    <row r="135" spans="1:16">
      <c r="A135" s="39" t="str">
        <f>A74</f>
        <v xml:space="preserve">   Chisel</v>
      </c>
      <c r="B135" s="67"/>
      <c r="C135" s="69" t="str">
        <f t="shared" si="3"/>
        <v/>
      </c>
      <c r="D135" s="69" t="str">
        <f t="shared" si="3"/>
        <v/>
      </c>
      <c r="E135" s="69" t="str">
        <f t="shared" si="3"/>
        <v/>
      </c>
      <c r="F135" s="69" t="str">
        <f t="shared" si="3"/>
        <v/>
      </c>
      <c r="H135" s="216">
        <v>4.7</v>
      </c>
      <c r="I135" s="62" t="str">
        <f>I74</f>
        <v>acre</v>
      </c>
      <c r="J135" s="37">
        <f t="shared" si="4"/>
        <v>0</v>
      </c>
      <c r="L135" s="231"/>
      <c r="M135" s="82"/>
      <c r="N135" s="82"/>
      <c r="O135" s="82"/>
      <c r="P135" s="82"/>
    </row>
    <row r="136" spans="1:16">
      <c r="A136" s="39" t="str">
        <f>A75</f>
        <v xml:space="preserve">   Disk</v>
      </c>
      <c r="B136" s="67"/>
      <c r="C136" s="69" t="str">
        <f t="shared" si="3"/>
        <v/>
      </c>
      <c r="D136" s="69" t="str">
        <f t="shared" si="3"/>
        <v/>
      </c>
      <c r="E136" s="69" t="str">
        <f t="shared" si="3"/>
        <v/>
      </c>
      <c r="F136" s="69" t="str">
        <f t="shared" si="3"/>
        <v/>
      </c>
      <c r="H136" s="216">
        <v>4.5</v>
      </c>
      <c r="I136" s="62" t="str">
        <f>I75</f>
        <v>acre</v>
      </c>
      <c r="J136" s="37">
        <f t="shared" si="4"/>
        <v>0</v>
      </c>
      <c r="L136" s="231"/>
      <c r="M136" s="82"/>
      <c r="N136" s="82"/>
      <c r="O136" s="82"/>
      <c r="P136" s="82"/>
    </row>
    <row r="137" spans="1:16">
      <c r="A137" s="39" t="str">
        <f>A76</f>
        <v xml:space="preserve">   Field Cultivate</v>
      </c>
      <c r="B137" s="67"/>
      <c r="C137" s="69" t="str">
        <f t="shared" si="3"/>
        <v/>
      </c>
      <c r="D137" s="69" t="str">
        <f t="shared" si="3"/>
        <v/>
      </c>
      <c r="E137" s="69" t="str">
        <f t="shared" si="3"/>
        <v/>
      </c>
      <c r="F137" s="69" t="str">
        <f t="shared" si="3"/>
        <v/>
      </c>
      <c r="H137" s="216">
        <v>2.5</v>
      </c>
      <c r="I137" s="62" t="str">
        <f>I76</f>
        <v>acre</v>
      </c>
      <c r="J137" s="37">
        <f t="shared" si="4"/>
        <v>0</v>
      </c>
      <c r="L137" s="231"/>
      <c r="M137" s="82"/>
      <c r="N137" s="82"/>
      <c r="O137" s="82"/>
      <c r="P137" s="82"/>
    </row>
    <row r="138" spans="1:16">
      <c r="A138" s="39" t="str">
        <f t="shared" ref="A138:A145" si="5">A77</f>
        <v xml:space="preserve">   Row Crop Cultivate/Ditch</v>
      </c>
      <c r="B138" s="67"/>
      <c r="C138" s="69" t="str">
        <f t="shared" ref="C138:F145" si="6">IF(C77,C77,"")</f>
        <v/>
      </c>
      <c r="D138" s="69" t="str">
        <f t="shared" si="6"/>
        <v/>
      </c>
      <c r="E138" s="69" t="str">
        <f t="shared" si="6"/>
        <v/>
      </c>
      <c r="F138" s="69" t="str">
        <f t="shared" si="6"/>
        <v/>
      </c>
      <c r="H138" s="216">
        <v>5.65</v>
      </c>
      <c r="I138" s="62" t="str">
        <f t="shared" ref="I138:I145" si="7">I77</f>
        <v>acre</v>
      </c>
      <c r="J138" s="37">
        <f t="shared" si="4"/>
        <v>0</v>
      </c>
      <c r="L138" s="231"/>
      <c r="M138" s="82"/>
      <c r="N138" s="82"/>
      <c r="O138" s="82"/>
      <c r="P138" s="82"/>
    </row>
    <row r="139" spans="1:16">
      <c r="A139" s="39" t="str">
        <f t="shared" si="5"/>
        <v xml:space="preserve">   Anhydrous Application</v>
      </c>
      <c r="B139" s="67"/>
      <c r="C139" s="69">
        <f t="shared" si="6"/>
        <v>1</v>
      </c>
      <c r="D139" s="69" t="str">
        <f t="shared" si="6"/>
        <v/>
      </c>
      <c r="E139" s="69">
        <f t="shared" si="6"/>
        <v>1</v>
      </c>
      <c r="F139" s="69" t="str">
        <f t="shared" si="6"/>
        <v/>
      </c>
      <c r="H139" s="216">
        <v>7</v>
      </c>
      <c r="I139" s="62" t="str">
        <f t="shared" si="7"/>
        <v>acre</v>
      </c>
      <c r="J139" s="37">
        <f t="shared" si="4"/>
        <v>560</v>
      </c>
      <c r="L139" s="231"/>
      <c r="M139" s="82"/>
      <c r="N139" s="82"/>
      <c r="O139" s="82"/>
      <c r="P139" s="82"/>
    </row>
    <row r="140" spans="1:16">
      <c r="A140" s="39" t="str">
        <f t="shared" si="5"/>
        <v xml:space="preserve">   Spray</v>
      </c>
      <c r="B140" s="67"/>
      <c r="C140" s="69">
        <f t="shared" si="6"/>
        <v>2</v>
      </c>
      <c r="D140" s="69">
        <f t="shared" si="6"/>
        <v>2</v>
      </c>
      <c r="E140" s="69">
        <f t="shared" si="6"/>
        <v>2</v>
      </c>
      <c r="F140" s="69">
        <f t="shared" si="6"/>
        <v>2</v>
      </c>
      <c r="H140" s="216">
        <v>2.5</v>
      </c>
      <c r="I140" s="62" t="str">
        <f t="shared" si="7"/>
        <v>acre</v>
      </c>
      <c r="J140" s="37">
        <f t="shared" si="4"/>
        <v>800</v>
      </c>
      <c r="L140" s="231"/>
      <c r="M140" s="82"/>
      <c r="N140" s="82"/>
      <c r="O140" s="82"/>
      <c r="P140" s="82"/>
    </row>
    <row r="141" spans="1:16">
      <c r="A141" s="39" t="str">
        <f t="shared" si="5"/>
        <v xml:space="preserve">   Combine</v>
      </c>
      <c r="B141" s="67"/>
      <c r="C141" s="69">
        <f t="shared" si="6"/>
        <v>1</v>
      </c>
      <c r="D141" s="69">
        <f t="shared" si="6"/>
        <v>1</v>
      </c>
      <c r="E141" s="69">
        <f t="shared" si="6"/>
        <v>1</v>
      </c>
      <c r="F141" s="69">
        <f t="shared" si="6"/>
        <v>1</v>
      </c>
      <c r="H141" s="216">
        <v>21</v>
      </c>
      <c r="I141" s="62" t="str">
        <f t="shared" si="7"/>
        <v>acre</v>
      </c>
      <c r="J141" s="37">
        <f t="shared" si="4"/>
        <v>3360</v>
      </c>
      <c r="L141" s="231"/>
      <c r="M141" s="82"/>
      <c r="N141" s="82"/>
      <c r="O141" s="82"/>
      <c r="P141" s="82"/>
    </row>
    <row r="142" spans="1:16">
      <c r="A142" s="39" t="str">
        <f t="shared" si="5"/>
        <v xml:space="preserve">   Grain Cart</v>
      </c>
      <c r="B142" s="67"/>
      <c r="C142" s="69">
        <f t="shared" si="6"/>
        <v>1</v>
      </c>
      <c r="D142" s="69">
        <f t="shared" si="6"/>
        <v>1</v>
      </c>
      <c r="E142" s="69">
        <f t="shared" si="6"/>
        <v>1</v>
      </c>
      <c r="F142" s="69">
        <f t="shared" si="6"/>
        <v>1</v>
      </c>
      <c r="H142" s="216">
        <v>2.75</v>
      </c>
      <c r="I142" s="62" t="str">
        <f t="shared" si="7"/>
        <v>acre</v>
      </c>
      <c r="J142" s="37">
        <f t="shared" si="4"/>
        <v>440</v>
      </c>
      <c r="L142" s="231"/>
      <c r="M142" s="82"/>
      <c r="N142" s="82"/>
      <c r="O142" s="82"/>
      <c r="P142" s="82"/>
    </row>
    <row r="143" spans="1:16">
      <c r="A143" s="39" t="str">
        <f t="shared" si="5"/>
        <v xml:space="preserve">   Other</v>
      </c>
      <c r="B143" s="67"/>
      <c r="C143" s="69" t="str">
        <f t="shared" si="6"/>
        <v/>
      </c>
      <c r="D143" s="69" t="str">
        <f t="shared" si="6"/>
        <v/>
      </c>
      <c r="E143" s="69" t="str">
        <f t="shared" si="6"/>
        <v/>
      </c>
      <c r="F143" s="69" t="str">
        <f t="shared" si="6"/>
        <v/>
      </c>
      <c r="H143" s="216"/>
      <c r="I143" s="62">
        <f t="shared" si="7"/>
        <v>0</v>
      </c>
      <c r="J143" s="37">
        <f t="shared" si="4"/>
        <v>0</v>
      </c>
      <c r="L143" s="231"/>
      <c r="M143" s="82"/>
      <c r="N143" s="82"/>
      <c r="O143" s="82"/>
      <c r="P143" s="82"/>
    </row>
    <row r="144" spans="1:16">
      <c r="A144" s="39" t="str">
        <f t="shared" si="5"/>
        <v xml:space="preserve">   Other</v>
      </c>
      <c r="B144" s="67"/>
      <c r="C144" s="69" t="str">
        <f t="shared" si="6"/>
        <v/>
      </c>
      <c r="D144" s="69" t="str">
        <f t="shared" si="6"/>
        <v/>
      </c>
      <c r="E144" s="69" t="str">
        <f t="shared" si="6"/>
        <v/>
      </c>
      <c r="F144" s="69" t="str">
        <f t="shared" si="6"/>
        <v/>
      </c>
      <c r="H144" s="216"/>
      <c r="I144" s="62">
        <f t="shared" si="7"/>
        <v>0</v>
      </c>
      <c r="J144" s="37">
        <f t="shared" si="4"/>
        <v>0</v>
      </c>
      <c r="L144" s="231"/>
      <c r="M144" s="82"/>
      <c r="N144" s="82"/>
      <c r="O144" s="82"/>
      <c r="P144" s="82"/>
    </row>
    <row r="145" spans="1:16">
      <c r="A145" s="39" t="str">
        <f t="shared" si="5"/>
        <v xml:space="preserve">   Other</v>
      </c>
      <c r="B145" s="67"/>
      <c r="C145" s="69" t="str">
        <f t="shared" si="6"/>
        <v/>
      </c>
      <c r="D145" s="69" t="str">
        <f t="shared" si="6"/>
        <v/>
      </c>
      <c r="E145" s="69" t="str">
        <f t="shared" si="6"/>
        <v/>
      </c>
      <c r="F145" s="69" t="str">
        <f t="shared" si="6"/>
        <v/>
      </c>
      <c r="H145" s="216"/>
      <c r="I145" s="62">
        <f t="shared" si="7"/>
        <v>0</v>
      </c>
      <c r="J145" s="37">
        <f t="shared" si="4"/>
        <v>0</v>
      </c>
      <c r="L145" s="231"/>
      <c r="M145" s="82"/>
      <c r="N145" s="82"/>
      <c r="O145" s="82"/>
      <c r="P145" s="82"/>
    </row>
    <row r="146" spans="1:16">
      <c r="A146" t="s">
        <v>123</v>
      </c>
      <c r="C146" s="37">
        <f>SUMPRODUCT(C133:C145,$H$133:$H$145)</f>
        <v>39.75</v>
      </c>
      <c r="D146" s="37">
        <f>SUMPRODUCT(D133:D145,$H$133:$H$145)</f>
        <v>33.25</v>
      </c>
      <c r="E146" s="37">
        <f>SUMPRODUCT(E133:E145,$H$133:$H$145)</f>
        <v>39.75</v>
      </c>
      <c r="F146" s="37">
        <f>SUMPRODUCT(F133:F145,$H$133:$H$145)</f>
        <v>33.25</v>
      </c>
      <c r="J146" s="44">
        <f>SUMPRODUCT($C$12:$F$12,C146:F146)</f>
        <v>5840</v>
      </c>
      <c r="M146" s="82"/>
    </row>
    <row r="147" spans="1:16">
      <c r="C147" s="37"/>
      <c r="D147" s="37"/>
      <c r="E147" s="37"/>
      <c r="F147" s="37"/>
      <c r="J147" s="44"/>
    </row>
    <row r="148" spans="1:16">
      <c r="A148" s="32" t="s">
        <v>124</v>
      </c>
      <c r="B148" s="33"/>
      <c r="C148" s="70"/>
      <c r="D148" s="70"/>
      <c r="E148" s="70"/>
      <c r="F148" s="70"/>
      <c r="G148" s="33"/>
      <c r="H148" s="33"/>
      <c r="I148" s="33"/>
      <c r="J148" s="71"/>
    </row>
    <row r="149" spans="1:16">
      <c r="A149" s="262" t="s">
        <v>125</v>
      </c>
      <c r="C149" s="257" t="s">
        <v>126</v>
      </c>
      <c r="D149" s="255" t="s">
        <v>312</v>
      </c>
      <c r="E149" s="255" t="s">
        <v>127</v>
      </c>
      <c r="F149" s="261" t="s">
        <v>128</v>
      </c>
      <c r="H149" s="259" t="s">
        <v>313</v>
      </c>
      <c r="I149" s="255" t="s">
        <v>129</v>
      </c>
      <c r="J149" s="68"/>
      <c r="K149" s="68"/>
    </row>
    <row r="150" spans="1:16">
      <c r="A150" s="262"/>
      <c r="C150" s="258"/>
      <c r="D150" s="256"/>
      <c r="E150" s="256"/>
      <c r="F150" s="260"/>
      <c r="G150" s="33"/>
      <c r="H150" s="260"/>
      <c r="I150" s="256"/>
      <c r="J150" s="35" t="s">
        <v>23</v>
      </c>
      <c r="K150" s="68"/>
    </row>
    <row r="151" spans="1:16">
      <c r="A151" t="s">
        <v>330</v>
      </c>
      <c r="C151" s="225">
        <v>50000</v>
      </c>
      <c r="D151" s="210">
        <v>40</v>
      </c>
      <c r="E151" s="226">
        <v>0.15</v>
      </c>
      <c r="F151" s="227">
        <v>250</v>
      </c>
      <c r="H151" s="46">
        <f>IF(C151,((C151-(C151*E151))/2)*C178,0)</f>
        <v>1275</v>
      </c>
      <c r="I151" s="46">
        <f>IF(D151,(C151-(C151*E151))/D151,0)</f>
        <v>1062.5</v>
      </c>
      <c r="J151" s="46">
        <f>F151+H151+I151</f>
        <v>2587.5</v>
      </c>
      <c r="K151" s="17"/>
    </row>
    <row r="152" spans="1:16">
      <c r="A152" t="s">
        <v>329</v>
      </c>
      <c r="C152" s="225">
        <v>10000</v>
      </c>
      <c r="D152" s="210">
        <v>10</v>
      </c>
      <c r="E152" s="226">
        <v>0.05</v>
      </c>
      <c r="F152" s="227">
        <v>100</v>
      </c>
      <c r="H152" s="46">
        <f>IF(C152,((C152-(C152*E152))/2)*C178,0)</f>
        <v>285</v>
      </c>
      <c r="I152" s="46">
        <f>IF(D152,(C152-(C152*E152))/D152,0)</f>
        <v>950</v>
      </c>
      <c r="J152" s="46">
        <f>F152+H152+I152</f>
        <v>1335</v>
      </c>
      <c r="K152" s="17"/>
    </row>
    <row r="153" spans="1:16">
      <c r="A153" t="s">
        <v>132</v>
      </c>
      <c r="C153" s="225">
        <v>60000</v>
      </c>
      <c r="D153" s="210">
        <v>28</v>
      </c>
      <c r="E153" s="226">
        <v>0.05</v>
      </c>
      <c r="F153" s="227">
        <v>400</v>
      </c>
      <c r="H153" s="46">
        <f>IF(C153,((C153-(C153*E153))/2)*C178,0)</f>
        <v>1710</v>
      </c>
      <c r="I153" s="46">
        <f>IF(D153,(C153-(C153*E153))/D153,0)</f>
        <v>2035.7142857142858</v>
      </c>
      <c r="J153" s="46">
        <f>F153+H153+I153</f>
        <v>4145.7142857142862</v>
      </c>
      <c r="K153" s="17"/>
    </row>
    <row r="154" spans="1:16">
      <c r="A154" s="39" t="s">
        <v>98</v>
      </c>
      <c r="B154" s="18"/>
      <c r="C154" s="73">
        <f>SUM(C151:C153)</f>
        <v>120000</v>
      </c>
      <c r="D154" s="74"/>
      <c r="E154" s="75"/>
      <c r="F154" s="76">
        <f>SUM(F151:F153)</f>
        <v>750</v>
      </c>
      <c r="G154" s="77"/>
      <c r="H154" s="44">
        <f>SUM(H151:H153)</f>
        <v>3270</v>
      </c>
      <c r="I154" s="44">
        <f>SUM(I151:I153)</f>
        <v>4048.2142857142858</v>
      </c>
      <c r="J154" s="44">
        <f>F154+H154+I154</f>
        <v>8068.2142857142862</v>
      </c>
    </row>
    <row r="155" spans="1:16">
      <c r="C155" s="65"/>
      <c r="D155" s="37"/>
      <c r="E155" s="37"/>
      <c r="F155" s="37"/>
      <c r="J155" s="44"/>
    </row>
    <row r="156" spans="1:16" ht="13.5" thickBot="1">
      <c r="A156" s="248" t="s">
        <v>133</v>
      </c>
      <c r="B156" s="249"/>
      <c r="C156" s="249"/>
      <c r="D156" s="249"/>
      <c r="E156" s="249"/>
      <c r="F156" s="249"/>
      <c r="G156" s="249"/>
      <c r="H156" s="249"/>
      <c r="I156" s="249"/>
      <c r="J156" s="249"/>
      <c r="K156" s="25"/>
    </row>
    <row r="157" spans="1:16">
      <c r="A157" s="49"/>
      <c r="B157" s="50"/>
      <c r="C157" s="50"/>
      <c r="D157" s="50"/>
      <c r="E157" s="50"/>
      <c r="F157" s="50"/>
      <c r="G157" s="50"/>
      <c r="H157" s="50"/>
      <c r="I157" s="50"/>
      <c r="J157" s="50"/>
      <c r="K157" s="25"/>
    </row>
    <row r="158" spans="1:16">
      <c r="A158" s="78" t="s">
        <v>134</v>
      </c>
      <c r="B158" s="33"/>
      <c r="C158" s="53" t="s">
        <v>135</v>
      </c>
      <c r="D158" s="50"/>
      <c r="E158" s="50"/>
      <c r="F158" s="50"/>
      <c r="G158" s="50"/>
      <c r="H158" s="50"/>
      <c r="I158" s="50"/>
      <c r="J158" s="50"/>
      <c r="K158" s="25"/>
    </row>
    <row r="159" spans="1:16">
      <c r="A159" s="64" t="s">
        <v>136</v>
      </c>
      <c r="B159" s="63"/>
      <c r="C159" s="63"/>
      <c r="D159" s="50"/>
      <c r="E159" s="50"/>
      <c r="F159" s="50"/>
      <c r="G159" s="50"/>
      <c r="H159" s="50"/>
      <c r="I159" s="50"/>
      <c r="J159" s="50"/>
      <c r="K159" s="25"/>
    </row>
    <row r="160" spans="1:16">
      <c r="A160" t="s">
        <v>130</v>
      </c>
      <c r="C160" s="220">
        <v>0</v>
      </c>
      <c r="D160" s="50"/>
      <c r="E160" s="50"/>
      <c r="F160" s="50"/>
      <c r="G160" s="50"/>
      <c r="H160" s="50"/>
      <c r="I160" s="50"/>
      <c r="J160" s="50"/>
      <c r="K160" s="25"/>
    </row>
    <row r="161" spans="1:11">
      <c r="A161" t="s">
        <v>131</v>
      </c>
      <c r="C161" s="220">
        <v>0</v>
      </c>
      <c r="D161" s="50"/>
      <c r="E161" s="50"/>
      <c r="F161" s="50"/>
      <c r="G161" s="50"/>
      <c r="H161" s="50"/>
      <c r="I161" s="50"/>
      <c r="J161" s="50"/>
      <c r="K161" s="25"/>
    </row>
    <row r="162" spans="1:11">
      <c r="A162" t="s">
        <v>132</v>
      </c>
      <c r="C162" s="220">
        <v>0</v>
      </c>
      <c r="D162" s="50"/>
      <c r="E162" s="50"/>
      <c r="F162" s="50"/>
      <c r="G162" s="50"/>
      <c r="H162" s="50"/>
      <c r="I162" s="50"/>
      <c r="J162" s="50"/>
      <c r="K162" s="25"/>
    </row>
    <row r="163" spans="1:11">
      <c r="A163" s="49"/>
      <c r="B163" s="50"/>
      <c r="C163" s="50"/>
      <c r="D163" s="50"/>
      <c r="E163" s="50"/>
      <c r="F163" s="50"/>
      <c r="G163" s="50"/>
      <c r="H163" s="50"/>
      <c r="I163" s="50"/>
      <c r="J163" s="50"/>
      <c r="K163" s="25"/>
    </row>
    <row r="164" spans="1:11">
      <c r="A164" s="32" t="s">
        <v>137</v>
      </c>
      <c r="B164" s="79"/>
      <c r="C164" s="35" t="s">
        <v>135</v>
      </c>
      <c r="E164" s="80"/>
      <c r="F164" s="48"/>
      <c r="J164" s="66"/>
      <c r="K164" s="25"/>
    </row>
    <row r="165" spans="1:11">
      <c r="A165" s="81" t="s">
        <v>138</v>
      </c>
      <c r="B165" s="43"/>
      <c r="C165" s="66"/>
      <c r="E165" s="80"/>
      <c r="F165" s="48"/>
      <c r="J165" s="66"/>
      <c r="K165" s="25"/>
    </row>
    <row r="166" spans="1:11">
      <c r="A166" t="s">
        <v>139</v>
      </c>
      <c r="B166" s="43"/>
      <c r="C166" s="228">
        <v>4500</v>
      </c>
      <c r="F166" s="82"/>
      <c r="I166" s="83"/>
      <c r="J166" s="66"/>
      <c r="K166" s="25"/>
    </row>
    <row r="167" spans="1:11">
      <c r="A167" t="s">
        <v>140</v>
      </c>
      <c r="C167" s="229">
        <v>3.2000000000000001E-2</v>
      </c>
      <c r="G167" s="84"/>
      <c r="H167" s="85"/>
    </row>
    <row r="168" spans="1:11">
      <c r="C168" s="86"/>
    </row>
    <row r="169" spans="1:11">
      <c r="A169" s="32" t="s">
        <v>141</v>
      </c>
      <c r="B169" s="32"/>
      <c r="C169" s="87" t="s">
        <v>135</v>
      </c>
    </row>
    <row r="170" spans="1:11">
      <c r="A170" t="s">
        <v>142</v>
      </c>
      <c r="C170" s="253">
        <v>0.5</v>
      </c>
    </row>
    <row r="171" spans="1:11">
      <c r="A171" t="s">
        <v>143</v>
      </c>
      <c r="C171" s="254"/>
    </row>
    <row r="172" spans="1:11">
      <c r="C172" s="86"/>
    </row>
    <row r="173" spans="1:11">
      <c r="A173" s="32" t="s">
        <v>144</v>
      </c>
      <c r="B173" s="60"/>
      <c r="C173" s="35" t="s">
        <v>135</v>
      </c>
      <c r="E173" s="68"/>
    </row>
    <row r="174" spans="1:11">
      <c r="A174" t="s">
        <v>145</v>
      </c>
      <c r="B174" s="18"/>
      <c r="C174" s="230">
        <v>0.06</v>
      </c>
      <c r="E174" s="17"/>
    </row>
    <row r="175" spans="1:11">
      <c r="A175" t="s">
        <v>146</v>
      </c>
      <c r="B175" s="18"/>
      <c r="C175" s="210">
        <v>6</v>
      </c>
      <c r="E175" s="17"/>
    </row>
    <row r="177" spans="1:3">
      <c r="A177" s="32" t="s">
        <v>324</v>
      </c>
      <c r="B177" s="60"/>
      <c r="C177" s="35" t="s">
        <v>135</v>
      </c>
    </row>
    <row r="178" spans="1:3">
      <c r="A178" t="s">
        <v>145</v>
      </c>
      <c r="B178" s="18"/>
      <c r="C178" s="230">
        <v>0.06</v>
      </c>
    </row>
    <row r="250" spans="1:10">
      <c r="A250" s="11" t="s">
        <v>147</v>
      </c>
    </row>
    <row r="251" spans="1:10">
      <c r="A251" s="11"/>
    </row>
    <row r="252" spans="1:10">
      <c r="A252" s="11" t="s">
        <v>337</v>
      </c>
      <c r="C252" s="53" t="str">
        <f>C11</f>
        <v>Irr Corn</v>
      </c>
      <c r="D252" s="53" t="str">
        <f>D11</f>
        <v>Irr Soybeans</v>
      </c>
      <c r="E252" s="53" t="str">
        <f>E11</f>
        <v>Dry Corn</v>
      </c>
      <c r="F252" s="53" t="str">
        <f>F11</f>
        <v>Dry Soybeans</v>
      </c>
      <c r="G252" s="26"/>
      <c r="H252" s="53" t="s">
        <v>23</v>
      </c>
    </row>
    <row r="253" spans="1:10">
      <c r="A253" s="45" t="s">
        <v>148</v>
      </c>
      <c r="C253" s="48">
        <f>IF(C96,C12,0)</f>
        <v>65</v>
      </c>
      <c r="D253" s="48">
        <f>IF(D96,D12,0)</f>
        <v>65</v>
      </c>
      <c r="E253" s="48">
        <f>IF(E96,E12,0)</f>
        <v>0</v>
      </c>
      <c r="F253" s="48">
        <f>IF(F96,F12,0)</f>
        <v>0</v>
      </c>
      <c r="H253" s="48">
        <f>SUM(C253:F253)</f>
        <v>130</v>
      </c>
    </row>
    <row r="254" spans="1:10">
      <c r="A254" t="s">
        <v>130</v>
      </c>
      <c r="C254" s="37">
        <f>IF(C253,(($C$253/$H$253)*J151)/$C$253,0)</f>
        <v>19.903846153846153</v>
      </c>
      <c r="D254" s="37">
        <f>IF(D253,(($D$253/$H$253)*J151)/$D$253,0)</f>
        <v>19.903846153846153</v>
      </c>
      <c r="E254" s="37">
        <f>IF(E253,(($E$253/$H$253)*J151)/$E$253,0)</f>
        <v>0</v>
      </c>
      <c r="F254" s="37">
        <f>IF(F253,(($F$253/$H$253)*J151)/$F$253,0)</f>
        <v>0</v>
      </c>
      <c r="G254" s="26"/>
      <c r="H254" s="37">
        <f>SUMPRODUCT($C$253:$F$253,C254:F254)</f>
        <v>2587.5</v>
      </c>
      <c r="J254" s="82"/>
    </row>
    <row r="255" spans="1:10">
      <c r="A255" t="s">
        <v>131</v>
      </c>
      <c r="C255" s="37">
        <f>IF(C254,(($C$253/$H$253)*J152)/$C$253,0)</f>
        <v>10.26923076923077</v>
      </c>
      <c r="D255" s="37">
        <f>IF(D254,(($D$253/$H$253)*J152)/$D$253,0)</f>
        <v>10.26923076923077</v>
      </c>
      <c r="E255" s="37">
        <f>IF(E254,(($E$253/$H$253)*J152)/$E$253,0)</f>
        <v>0</v>
      </c>
      <c r="F255" s="37">
        <f>IF(F254,(($F$253/$H$253)*J152)/$F$253,0)</f>
        <v>0</v>
      </c>
      <c r="G255" s="26"/>
      <c r="H255" s="37">
        <f>SUMPRODUCT($C$253:$F$253,C255:F255)</f>
        <v>1335</v>
      </c>
      <c r="J255" s="82"/>
    </row>
    <row r="256" spans="1:10">
      <c r="A256" t="s">
        <v>132</v>
      </c>
      <c r="C256" s="37">
        <f>IF(C255,(($C$253/$H$253)*J153)/$C$253,0)</f>
        <v>31.890109890109894</v>
      </c>
      <c r="D256" s="37">
        <f>IF(D255,(($D$253/$H$253)*J153)/$D$253,0)</f>
        <v>31.890109890109894</v>
      </c>
      <c r="E256" s="37">
        <f>IF(E255,(($E$253/$H$253)*J153)/$E$253,0)</f>
        <v>0</v>
      </c>
      <c r="F256" s="37">
        <f>IF(F255,(($F$253/$H$253)*J153)/$F$253,0)</f>
        <v>0</v>
      </c>
      <c r="G256" s="26"/>
      <c r="H256" s="37">
        <f>SUMPRODUCT($C$253:$F$253,C256:F256)</f>
        <v>4145.7142857142862</v>
      </c>
      <c r="J256" s="82"/>
    </row>
    <row r="257" spans="1:10">
      <c r="A257" s="11" t="s">
        <v>149</v>
      </c>
      <c r="C257" s="37">
        <f>SUM(C254:C256)</f>
        <v>62.063186813186817</v>
      </c>
      <c r="D257" s="37">
        <f>SUM(D254:D256)</f>
        <v>62.063186813186817</v>
      </c>
      <c r="E257" s="37">
        <f>SUM(E254:E256)</f>
        <v>0</v>
      </c>
      <c r="F257" s="37">
        <f>SUM(F254:F256)</f>
        <v>0</v>
      </c>
      <c r="G257" s="26"/>
      <c r="H257" s="37">
        <f>SUMPRODUCT($C$253:$F$253,C257:F257)</f>
        <v>8068.2142857142862</v>
      </c>
      <c r="I257" s="82"/>
      <c r="J257" s="82"/>
    </row>
    <row r="258" spans="1:10">
      <c r="C258" s="37"/>
      <c r="D258" s="37"/>
      <c r="E258" s="37"/>
      <c r="F258" s="37"/>
      <c r="G258" s="26"/>
      <c r="H258" s="37"/>
    </row>
    <row r="259" spans="1:10">
      <c r="A259" s="11" t="s">
        <v>338</v>
      </c>
    </row>
    <row r="260" spans="1:10">
      <c r="A260" t="s">
        <v>130</v>
      </c>
      <c r="C260" s="37">
        <f>C254*$C$160</f>
        <v>0</v>
      </c>
      <c r="D260" s="37">
        <f>D254*$C$160</f>
        <v>0</v>
      </c>
      <c r="E260" s="37">
        <f>E254*$C$160</f>
        <v>0</v>
      </c>
      <c r="F260" s="37">
        <f>F254*$C$160</f>
        <v>0</v>
      </c>
      <c r="G260" s="26"/>
      <c r="H260" s="37">
        <f>SUMPRODUCT($C$253:$F$253,C260:F260)</f>
        <v>0</v>
      </c>
    </row>
    <row r="261" spans="1:10">
      <c r="A261" t="s">
        <v>131</v>
      </c>
      <c r="C261" s="37">
        <f>C255*$C$161</f>
        <v>0</v>
      </c>
      <c r="D261" s="37">
        <f>D255*$C$161</f>
        <v>0</v>
      </c>
      <c r="E261" s="37">
        <f>E255*$C$161</f>
        <v>0</v>
      </c>
      <c r="F261" s="37">
        <f>F255*$C$161</f>
        <v>0</v>
      </c>
      <c r="G261" s="26"/>
      <c r="H261" s="37">
        <f>SUMPRODUCT($C$253:$F$253,C261:F261)</f>
        <v>0</v>
      </c>
    </row>
    <row r="262" spans="1:10">
      <c r="A262" t="s">
        <v>132</v>
      </c>
      <c r="C262" s="37">
        <f>C256*$C$162</f>
        <v>0</v>
      </c>
      <c r="D262" s="37">
        <f>D256*$C$162</f>
        <v>0</v>
      </c>
      <c r="E262" s="37">
        <f>E256*$C$162</f>
        <v>0</v>
      </c>
      <c r="F262" s="37">
        <f>F256*$C$162</f>
        <v>0</v>
      </c>
      <c r="G262" s="26"/>
      <c r="H262" s="37">
        <f>SUMPRODUCT($C$253:$F$253,C262:F262)</f>
        <v>0</v>
      </c>
    </row>
    <row r="263" spans="1:10">
      <c r="A263" s="11" t="s">
        <v>150</v>
      </c>
      <c r="C263" s="37">
        <f>SUM(C260:C262)</f>
        <v>0</v>
      </c>
      <c r="D263" s="37">
        <f>SUM(D260:D262)</f>
        <v>0</v>
      </c>
      <c r="E263" s="37">
        <f>SUM(E260:E262)</f>
        <v>0</v>
      </c>
      <c r="F263" s="37">
        <f>SUM(F260:F262)</f>
        <v>0</v>
      </c>
      <c r="G263" s="26"/>
      <c r="H263" s="37">
        <f>SUMPRODUCT($C$253:$F$253,C263:F263)</f>
        <v>0</v>
      </c>
    </row>
    <row r="264" spans="1:10">
      <c r="C264" s="26"/>
      <c r="D264" s="26"/>
      <c r="E264" s="26"/>
      <c r="F264" s="26"/>
      <c r="G264" s="26"/>
      <c r="H264" s="26"/>
    </row>
    <row r="265" spans="1:10">
      <c r="A265" s="11" t="s">
        <v>339</v>
      </c>
      <c r="C265" s="37"/>
      <c r="D265" s="37"/>
      <c r="E265" s="37"/>
      <c r="F265" s="37"/>
      <c r="G265" s="37"/>
      <c r="H265" s="37"/>
    </row>
    <row r="266" spans="1:10">
      <c r="A266" t="s">
        <v>130</v>
      </c>
      <c r="C266" s="37">
        <f>C254*(1-$C$160)</f>
        <v>19.903846153846153</v>
      </c>
      <c r="D266" s="37">
        <f>D254*(1-$C$160)</f>
        <v>19.903846153846153</v>
      </c>
      <c r="E266" s="37">
        <f>E254*(1-$C$160)</f>
        <v>0</v>
      </c>
      <c r="F266" s="37">
        <f>F254*(1-$C$160)</f>
        <v>0</v>
      </c>
      <c r="G266" s="37"/>
      <c r="H266" s="37">
        <f>SUMPRODUCT($C$253:$F$253,C266:F266)</f>
        <v>2587.5</v>
      </c>
    </row>
    <row r="267" spans="1:10">
      <c r="A267" t="s">
        <v>131</v>
      </c>
      <c r="C267" s="37">
        <f>C255*(1-$C$161)</f>
        <v>10.26923076923077</v>
      </c>
      <c r="D267" s="37">
        <f>D255*(1-$C$161)</f>
        <v>10.26923076923077</v>
      </c>
      <c r="E267" s="37">
        <f>E255*(1-$C$161)</f>
        <v>0</v>
      </c>
      <c r="F267" s="37">
        <f>F255*(1-$C$161)</f>
        <v>0</v>
      </c>
      <c r="G267" s="37"/>
      <c r="H267" s="37">
        <f>SUMPRODUCT($C$253:$F$253,C267:F267)</f>
        <v>1335</v>
      </c>
    </row>
    <row r="268" spans="1:10">
      <c r="A268" t="s">
        <v>132</v>
      </c>
      <c r="C268" s="37">
        <f>C256*(1-$C$162)</f>
        <v>31.890109890109894</v>
      </c>
      <c r="D268" s="37">
        <f>D256*(1-$C$162)</f>
        <v>31.890109890109894</v>
      </c>
      <c r="E268" s="37">
        <f>E256*(1-$C$162)</f>
        <v>0</v>
      </c>
      <c r="F268" s="37">
        <f>F256*(1-$C$162)</f>
        <v>0</v>
      </c>
      <c r="G268" s="37"/>
      <c r="H268" s="37">
        <f>SUMPRODUCT($C$253:$F$253,C268:F268)</f>
        <v>4145.7142857142862</v>
      </c>
    </row>
    <row r="269" spans="1:10">
      <c r="A269" s="11" t="s">
        <v>151</v>
      </c>
      <c r="C269" s="37">
        <f>SUM(C266:C268)</f>
        <v>62.063186813186817</v>
      </c>
      <c r="D269" s="37">
        <f>SUM(D266:D268)</f>
        <v>62.063186813186817</v>
      </c>
      <c r="E269" s="37">
        <f>SUM(E266:E268)</f>
        <v>0</v>
      </c>
      <c r="F269" s="37">
        <f>SUM(F266:F268)</f>
        <v>0</v>
      </c>
      <c r="G269" s="37"/>
      <c r="H269" s="37">
        <f>SUMPRODUCT($C$253:$F$253,C269:F269)</f>
        <v>8068.2142857142862</v>
      </c>
    </row>
    <row r="270" spans="1:10">
      <c r="C270" s="26"/>
      <c r="D270" s="26"/>
      <c r="E270" s="26"/>
      <c r="F270" s="26"/>
      <c r="G270" s="26"/>
      <c r="H270" s="26"/>
    </row>
  </sheetData>
  <sheetProtection password="C1B5" sheet="1"/>
  <mergeCells count="24">
    <mergeCell ref="D149:D150"/>
    <mergeCell ref="H4:J4"/>
    <mergeCell ref="H5:J5"/>
    <mergeCell ref="H6:J6"/>
    <mergeCell ref="H7:J7"/>
    <mergeCell ref="B4:E4"/>
    <mergeCell ref="C170:C171"/>
    <mergeCell ref="E149:E150"/>
    <mergeCell ref="C149:C150"/>
    <mergeCell ref="H149:H150"/>
    <mergeCell ref="A156:J156"/>
    <mergeCell ref="B5:E5"/>
    <mergeCell ref="B6:E6"/>
    <mergeCell ref="I149:I150"/>
    <mergeCell ref="F149:F150"/>
    <mergeCell ref="A149:A150"/>
    <mergeCell ref="A1:J1"/>
    <mergeCell ref="A15:J15"/>
    <mergeCell ref="A24:J24"/>
    <mergeCell ref="A121:J121"/>
    <mergeCell ref="B9:J9"/>
    <mergeCell ref="B7:E7"/>
    <mergeCell ref="B3:E3"/>
    <mergeCell ref="H3:J3"/>
  </mergeCells>
  <phoneticPr fontId="0" type="noConversion"/>
  <pageMargins left="0.75" right="0.75" top="0.4" bottom="0.4" header="0.5" footer="0.5"/>
  <pageSetup scale="95" fitToHeight="0" orientation="landscape" r:id="rId1"/>
  <headerFooter alignWithMargins="0"/>
  <rowBreaks count="4" manualBreakCount="4">
    <brk id="39" max="9" man="1"/>
    <brk id="85" max="9" man="1"/>
    <brk id="120" max="9" man="1"/>
    <brk id="155" max="9" man="1"/>
  </rowBreaks>
  <legacyDrawing r:id="rId2"/>
</worksheet>
</file>

<file path=xl/worksheets/sheet3.xml><?xml version="1.0" encoding="utf-8"?>
<worksheet xmlns="http://schemas.openxmlformats.org/spreadsheetml/2006/main" xmlns:r="http://schemas.openxmlformats.org/officeDocument/2006/relationships">
  <sheetPr codeName="Sheet2"/>
  <dimension ref="A1:F135"/>
  <sheetViews>
    <sheetView zoomScaleNormal="100" workbookViewId="0">
      <selection activeCell="D35" sqref="D35"/>
    </sheetView>
  </sheetViews>
  <sheetFormatPr defaultRowHeight="12.75"/>
  <cols>
    <col min="1" max="1" width="36.28515625" customWidth="1"/>
    <col min="2" max="2" width="3" customWidth="1"/>
    <col min="3" max="6" width="12" customWidth="1"/>
  </cols>
  <sheetData>
    <row r="1" spans="1:6" ht="18">
      <c r="A1" s="266" t="s">
        <v>152</v>
      </c>
      <c r="B1" s="267"/>
      <c r="C1" s="267"/>
      <c r="D1" s="267"/>
      <c r="E1" s="267"/>
      <c r="F1" s="267"/>
    </row>
    <row r="2" spans="1:6">
      <c r="A2" s="10"/>
      <c r="B2" s="10"/>
    </row>
    <row r="3" spans="1:6">
      <c r="A3" s="11" t="s">
        <v>153</v>
      </c>
      <c r="B3" s="42" t="str">
        <f>Inputs!B4</f>
        <v>Average Joe Landowner</v>
      </c>
      <c r="D3" s="18"/>
      <c r="E3" s="18"/>
      <c r="F3" s="18"/>
    </row>
    <row r="4" spans="1:6">
      <c r="A4" s="11" t="s">
        <v>154</v>
      </c>
      <c r="B4" s="42" t="str">
        <f>Inputs!H4</f>
        <v>Average Joe Tenant</v>
      </c>
      <c r="D4" s="18"/>
      <c r="E4" s="18"/>
      <c r="F4" s="18"/>
    </row>
    <row r="5" spans="1:6">
      <c r="A5" s="11" t="s">
        <v>155</v>
      </c>
      <c r="B5" s="11" t="str">
        <f>Inputs!B9</f>
        <v>Pivot Irrigated Quarter Section with Dryland Corners</v>
      </c>
    </row>
    <row r="7" spans="1:6">
      <c r="A7" s="268" t="s">
        <v>156</v>
      </c>
      <c r="B7" s="269"/>
      <c r="C7" s="269"/>
      <c r="D7" s="269"/>
      <c r="E7" s="269"/>
      <c r="F7" s="269"/>
    </row>
    <row r="8" spans="1:6" ht="13.5" thickBot="1">
      <c r="A8" s="197" t="s">
        <v>157</v>
      </c>
      <c r="B8" s="198"/>
      <c r="C8" s="24" t="str">
        <f>Inputs!$C$11</f>
        <v>Irr Corn</v>
      </c>
      <c r="D8" s="24" t="str">
        <f>Inputs!$D$11</f>
        <v>Irr Soybeans</v>
      </c>
      <c r="E8" s="24" t="str">
        <f>Inputs!$E$11</f>
        <v>Dry Corn</v>
      </c>
      <c r="F8" s="24" t="str">
        <f>Inputs!$F$11</f>
        <v>Dry Soybeans</v>
      </c>
    </row>
    <row r="9" spans="1:6">
      <c r="A9" t="s">
        <v>158</v>
      </c>
      <c r="C9" s="226">
        <v>0.5</v>
      </c>
      <c r="D9" s="226">
        <v>0.5</v>
      </c>
      <c r="E9" s="226">
        <v>0.5</v>
      </c>
      <c r="F9" s="226">
        <v>0.5</v>
      </c>
    </row>
    <row r="10" spans="1:6">
      <c r="A10" t="s">
        <v>159</v>
      </c>
      <c r="C10" s="226">
        <v>0.5</v>
      </c>
      <c r="D10" s="226">
        <v>0.5</v>
      </c>
      <c r="E10" s="226">
        <v>0.5</v>
      </c>
      <c r="F10" s="226">
        <v>0.5</v>
      </c>
    </row>
    <row r="11" spans="1:6">
      <c r="A11" t="str">
        <f>Inputs!$A$21</f>
        <v xml:space="preserve">   Other Income per Acre</v>
      </c>
      <c r="B11" s="18"/>
      <c r="C11" s="226">
        <v>0.5</v>
      </c>
      <c r="D11" s="226">
        <v>0.5</v>
      </c>
      <c r="E11" s="226">
        <v>0.5</v>
      </c>
      <c r="F11" s="226">
        <v>0.5</v>
      </c>
    </row>
    <row r="13" spans="1:6" ht="13.5" thickBot="1">
      <c r="A13" s="197" t="s">
        <v>160</v>
      </c>
      <c r="B13" s="198"/>
      <c r="C13" s="24" t="str">
        <f>Inputs!$C$11</f>
        <v>Irr Corn</v>
      </c>
      <c r="D13" s="24" t="str">
        <f>Inputs!$D$11</f>
        <v>Irr Soybeans</v>
      </c>
      <c r="E13" s="24" t="str">
        <f>Inputs!$E$11</f>
        <v>Dry Corn</v>
      </c>
      <c r="F13" s="24" t="str">
        <f>Inputs!$F$11</f>
        <v>Dry Soybeans</v>
      </c>
    </row>
    <row r="14" spans="1:6">
      <c r="A14" s="45" t="s">
        <v>161</v>
      </c>
      <c r="B14" s="67"/>
      <c r="C14" s="226">
        <v>1</v>
      </c>
      <c r="D14" s="226">
        <v>1</v>
      </c>
      <c r="E14" s="226">
        <v>1</v>
      </c>
      <c r="F14" s="226">
        <v>1</v>
      </c>
    </row>
    <row r="15" spans="1:6">
      <c r="A15" t="s">
        <v>162</v>
      </c>
      <c r="C15" s="226">
        <v>0.5</v>
      </c>
      <c r="D15" s="226">
        <v>0.5</v>
      </c>
      <c r="E15" s="226">
        <v>0.5</v>
      </c>
      <c r="F15" s="226">
        <v>0.5</v>
      </c>
    </row>
    <row r="16" spans="1:6">
      <c r="A16" t="s">
        <v>163</v>
      </c>
      <c r="C16" s="226">
        <v>1</v>
      </c>
      <c r="D16" s="226">
        <v>1</v>
      </c>
      <c r="E16" s="226">
        <v>1</v>
      </c>
      <c r="F16" s="226">
        <v>1</v>
      </c>
    </row>
    <row r="17" spans="1:6">
      <c r="A17" t="s">
        <v>164</v>
      </c>
      <c r="C17" s="226">
        <v>0.5</v>
      </c>
      <c r="D17" s="226">
        <v>0.5</v>
      </c>
      <c r="E17" s="226">
        <v>0.5</v>
      </c>
      <c r="F17" s="226">
        <v>0.5</v>
      </c>
    </row>
    <row r="18" spans="1:6">
      <c r="A18" s="45" t="s">
        <v>165</v>
      </c>
      <c r="B18" s="67"/>
      <c r="C18" s="226">
        <v>0.5</v>
      </c>
      <c r="D18" s="226">
        <v>0.5</v>
      </c>
      <c r="E18" s="226">
        <v>0.5</v>
      </c>
      <c r="F18" s="226">
        <v>0.5</v>
      </c>
    </row>
    <row r="19" spans="1:6">
      <c r="A19" t="s">
        <v>166</v>
      </c>
      <c r="C19" s="226">
        <v>0.5</v>
      </c>
      <c r="D19" s="226">
        <v>0.5</v>
      </c>
      <c r="E19" s="226">
        <v>0.5</v>
      </c>
      <c r="F19" s="226">
        <v>0.5</v>
      </c>
    </row>
    <row r="20" spans="1:6">
      <c r="A20" s="18" t="s">
        <v>167</v>
      </c>
      <c r="B20" s="18"/>
      <c r="C20" s="226">
        <v>1</v>
      </c>
      <c r="D20" s="226">
        <v>1</v>
      </c>
      <c r="E20" s="226">
        <v>1</v>
      </c>
      <c r="F20" s="226">
        <v>1</v>
      </c>
    </row>
    <row r="21" spans="1:6">
      <c r="A21" s="45" t="s">
        <v>168</v>
      </c>
      <c r="B21" s="88"/>
      <c r="C21" s="226">
        <v>1</v>
      </c>
      <c r="D21" s="226">
        <v>1</v>
      </c>
      <c r="E21" s="226">
        <v>1</v>
      </c>
      <c r="F21" s="226">
        <v>1</v>
      </c>
    </row>
    <row r="22" spans="1:6">
      <c r="A22" s="18" t="s">
        <v>169</v>
      </c>
      <c r="B22" s="18"/>
      <c r="C22" s="226">
        <v>0.5</v>
      </c>
      <c r="D22" s="226">
        <v>0.5</v>
      </c>
      <c r="E22" s="226">
        <v>0.5</v>
      </c>
      <c r="F22" s="226">
        <v>0.5</v>
      </c>
    </row>
    <row r="23" spans="1:6">
      <c r="A23" s="45" t="s">
        <v>304</v>
      </c>
      <c r="B23" s="64"/>
      <c r="C23" s="226">
        <v>1</v>
      </c>
      <c r="D23" s="226">
        <v>1</v>
      </c>
      <c r="E23" s="226">
        <v>1</v>
      </c>
      <c r="F23" s="226">
        <v>1</v>
      </c>
    </row>
    <row r="24" spans="1:6">
      <c r="A24" s="18" t="s">
        <v>170</v>
      </c>
      <c r="B24" s="18"/>
      <c r="C24" s="226">
        <v>0.5</v>
      </c>
      <c r="D24" s="226">
        <v>0.5</v>
      </c>
      <c r="E24" s="226">
        <v>0.5</v>
      </c>
      <c r="F24" s="226">
        <v>0.5</v>
      </c>
    </row>
    <row r="25" spans="1:6">
      <c r="A25" s="18"/>
      <c r="B25" s="18"/>
      <c r="C25" s="89"/>
      <c r="D25" s="89"/>
      <c r="E25" s="89"/>
      <c r="F25" s="89"/>
    </row>
    <row r="26" spans="1:6" ht="13.5" thickBot="1">
      <c r="A26" s="197" t="s">
        <v>171</v>
      </c>
      <c r="B26" s="198"/>
      <c r="C26" s="24" t="str">
        <f>Inputs!$C$11</f>
        <v>Irr Corn</v>
      </c>
      <c r="D26" s="24" t="str">
        <f>Inputs!$D$11</f>
        <v>Irr Soybeans</v>
      </c>
      <c r="E26" s="24" t="str">
        <f>Inputs!$E$11</f>
        <v>Dry Corn</v>
      </c>
      <c r="F26" s="24" t="str">
        <f>Inputs!$F$11</f>
        <v>Dry Soybeans</v>
      </c>
    </row>
    <row r="27" spans="1:6">
      <c r="A27" t="s">
        <v>120</v>
      </c>
      <c r="C27" s="226">
        <v>0</v>
      </c>
      <c r="D27" s="226">
        <v>0</v>
      </c>
      <c r="E27" s="226">
        <v>0</v>
      </c>
      <c r="F27" s="226">
        <v>0</v>
      </c>
    </row>
    <row r="28" spans="1:6">
      <c r="A28" s="45" t="s">
        <v>172</v>
      </c>
      <c r="B28" s="67"/>
      <c r="C28" s="226">
        <v>1</v>
      </c>
      <c r="D28" s="226">
        <v>1</v>
      </c>
      <c r="E28" s="226">
        <v>1</v>
      </c>
      <c r="F28" s="226">
        <v>1</v>
      </c>
    </row>
    <row r="29" spans="1:6">
      <c r="A29" s="63"/>
      <c r="B29" s="67"/>
      <c r="C29" s="48"/>
      <c r="D29" s="48"/>
      <c r="E29" s="48"/>
      <c r="F29" s="48"/>
    </row>
    <row r="30" spans="1:6">
      <c r="A30" s="63"/>
      <c r="B30" s="67"/>
      <c r="C30" s="48"/>
      <c r="D30" s="48"/>
      <c r="E30" s="48"/>
      <c r="F30" s="48"/>
    </row>
    <row r="31" spans="1:6">
      <c r="A31" s="39"/>
      <c r="B31" s="67"/>
      <c r="C31" s="89"/>
      <c r="D31" s="89"/>
      <c r="E31" s="89"/>
      <c r="F31" s="89"/>
    </row>
    <row r="32" spans="1:6">
      <c r="D32" s="89"/>
      <c r="E32" s="89"/>
      <c r="F32" s="89"/>
    </row>
    <row r="33" spans="1:6">
      <c r="D33" s="89"/>
      <c r="E33" s="89"/>
      <c r="F33" s="89"/>
    </row>
    <row r="34" spans="1:6">
      <c r="D34" s="89"/>
      <c r="E34" s="89"/>
      <c r="F34" s="89"/>
    </row>
    <row r="35" spans="1:6">
      <c r="D35" s="89"/>
      <c r="E35" s="89"/>
      <c r="F35" s="89"/>
    </row>
    <row r="36" spans="1:6">
      <c r="A36" s="39"/>
      <c r="B36" s="67"/>
      <c r="C36" s="89"/>
      <c r="D36" s="89"/>
      <c r="E36" s="89"/>
      <c r="F36" s="89"/>
    </row>
    <row r="37" spans="1:6">
      <c r="A37" s="39"/>
      <c r="B37" s="67"/>
      <c r="C37" s="89"/>
      <c r="D37" s="89"/>
      <c r="E37" s="89"/>
      <c r="F37" s="89"/>
    </row>
    <row r="38" spans="1:6">
      <c r="A38" s="39"/>
      <c r="B38" s="67"/>
      <c r="C38" s="89"/>
      <c r="D38" s="89"/>
      <c r="E38" s="89"/>
      <c r="F38" s="89"/>
    </row>
    <row r="39" spans="1:6">
      <c r="A39" s="39"/>
      <c r="B39" s="67"/>
      <c r="C39" s="89"/>
      <c r="D39" s="89"/>
      <c r="E39" s="89"/>
      <c r="F39" s="89"/>
    </row>
    <row r="40" spans="1:6">
      <c r="A40" s="39"/>
      <c r="B40" s="67"/>
      <c r="C40" s="89"/>
      <c r="D40" s="89"/>
      <c r="E40" s="89"/>
      <c r="F40" s="89"/>
    </row>
    <row r="41" spans="1:6">
      <c r="A41" s="39"/>
      <c r="B41" s="67"/>
      <c r="C41" s="89"/>
      <c r="D41" s="89"/>
      <c r="E41" s="89"/>
      <c r="F41" s="89"/>
    </row>
    <row r="42" spans="1:6">
      <c r="A42" s="39"/>
      <c r="B42" s="67"/>
      <c r="C42" s="89"/>
      <c r="D42" s="89"/>
      <c r="E42" s="89"/>
      <c r="F42" s="89"/>
    </row>
    <row r="43" spans="1:6">
      <c r="A43" s="39"/>
      <c r="B43" s="67"/>
      <c r="C43" s="89"/>
      <c r="D43" s="89"/>
      <c r="E43" s="89"/>
      <c r="F43" s="89"/>
    </row>
    <row r="44" spans="1:6">
      <c r="A44" s="39"/>
      <c r="B44" s="67"/>
      <c r="C44" s="89"/>
      <c r="D44" s="89"/>
      <c r="E44" s="89"/>
      <c r="F44" s="89"/>
    </row>
    <row r="45" spans="1:6">
      <c r="A45" s="39"/>
      <c r="B45" s="67"/>
      <c r="C45" s="89"/>
      <c r="D45" s="89"/>
      <c r="E45" s="89"/>
      <c r="F45" s="89"/>
    </row>
    <row r="46" spans="1:6">
      <c r="A46" s="39"/>
      <c r="B46" s="67"/>
      <c r="C46" s="89"/>
      <c r="D46" s="89"/>
      <c r="E46" s="89"/>
      <c r="F46" s="89"/>
    </row>
    <row r="47" spans="1:6">
      <c r="A47" s="39"/>
      <c r="B47" s="67"/>
      <c r="C47" s="89"/>
      <c r="D47" s="89"/>
      <c r="E47" s="89"/>
      <c r="F47" s="89"/>
    </row>
    <row r="48" spans="1:6">
      <c r="A48" s="39"/>
      <c r="B48" s="67"/>
      <c r="C48" s="89"/>
      <c r="D48" s="89"/>
      <c r="E48" s="89"/>
      <c r="F48" s="89"/>
    </row>
    <row r="49" spans="1:6">
      <c r="A49" s="39"/>
      <c r="B49" s="67"/>
      <c r="C49" s="89"/>
      <c r="D49" s="89"/>
      <c r="E49" s="89"/>
      <c r="F49" s="89"/>
    </row>
    <row r="50" spans="1:6">
      <c r="A50" s="39"/>
      <c r="B50" s="67"/>
      <c r="C50" s="89"/>
      <c r="D50" s="89"/>
      <c r="E50" s="89"/>
      <c r="F50" s="89"/>
    </row>
    <row r="51" spans="1:6">
      <c r="A51" s="39"/>
      <c r="B51" s="67"/>
      <c r="C51" s="89"/>
      <c r="D51" s="89"/>
      <c r="E51" s="89"/>
      <c r="F51" s="89"/>
    </row>
    <row r="52" spans="1:6">
      <c r="A52" s="39"/>
      <c r="B52" s="67"/>
      <c r="C52" s="89"/>
      <c r="D52" s="89"/>
      <c r="E52" s="89"/>
      <c r="F52" s="89"/>
    </row>
    <row r="53" spans="1:6">
      <c r="A53" s="39"/>
      <c r="B53" s="67"/>
      <c r="C53" s="89"/>
      <c r="D53" s="89"/>
      <c r="E53" s="89"/>
      <c r="F53" s="89"/>
    </row>
    <row r="54" spans="1:6">
      <c r="A54" s="39"/>
      <c r="B54" s="67"/>
      <c r="C54" s="89"/>
      <c r="D54" s="89"/>
      <c r="E54" s="89"/>
      <c r="F54" s="89"/>
    </row>
    <row r="55" spans="1:6">
      <c r="A55" s="39"/>
      <c r="B55" s="67"/>
      <c r="C55" s="89"/>
      <c r="D55" s="89"/>
      <c r="E55" s="89"/>
      <c r="F55" s="89"/>
    </row>
    <row r="56" spans="1:6">
      <c r="A56" s="39"/>
      <c r="B56" s="67"/>
      <c r="C56" s="89"/>
      <c r="D56" s="89"/>
      <c r="E56" s="89"/>
      <c r="F56" s="89"/>
    </row>
    <row r="57" spans="1:6">
      <c r="A57" s="39"/>
      <c r="B57" s="67"/>
      <c r="C57" s="89"/>
      <c r="D57" s="89"/>
      <c r="E57" s="89"/>
      <c r="F57" s="89"/>
    </row>
    <row r="58" spans="1:6">
      <c r="A58" s="39"/>
      <c r="B58" s="67"/>
      <c r="C58" s="89"/>
      <c r="D58" s="89"/>
      <c r="E58" s="89"/>
      <c r="F58" s="89"/>
    </row>
    <row r="59" spans="1:6">
      <c r="A59" s="39"/>
      <c r="B59" s="67"/>
      <c r="C59" s="89"/>
      <c r="D59" s="89"/>
      <c r="E59" s="89"/>
      <c r="F59" s="89"/>
    </row>
    <row r="60" spans="1:6">
      <c r="A60" s="39"/>
      <c r="B60" s="67"/>
      <c r="C60" s="89"/>
      <c r="D60" s="89"/>
      <c r="E60" s="89"/>
      <c r="F60" s="89"/>
    </row>
    <row r="61" spans="1:6">
      <c r="A61" s="39"/>
      <c r="B61" s="67"/>
      <c r="C61" s="89"/>
      <c r="D61" s="89"/>
      <c r="E61" s="89"/>
      <c r="F61" s="89"/>
    </row>
    <row r="62" spans="1:6">
      <c r="A62" s="39"/>
      <c r="B62" s="67"/>
      <c r="C62" s="89"/>
      <c r="D62" s="89"/>
      <c r="E62" s="89"/>
      <c r="F62" s="89"/>
    </row>
    <row r="63" spans="1:6">
      <c r="A63" s="39"/>
      <c r="B63" s="67"/>
      <c r="C63" s="89"/>
      <c r="D63" s="89"/>
      <c r="E63" s="89"/>
      <c r="F63" s="89"/>
    </row>
    <row r="64" spans="1:6">
      <c r="A64" s="39"/>
      <c r="B64" s="67"/>
      <c r="C64" s="89"/>
      <c r="D64" s="89"/>
      <c r="E64" s="89"/>
      <c r="F64" s="89"/>
    </row>
    <row r="65" spans="1:6">
      <c r="A65" s="39"/>
      <c r="B65" s="67"/>
      <c r="C65" s="89"/>
      <c r="D65" s="89"/>
      <c r="E65" s="89"/>
      <c r="F65" s="89"/>
    </row>
    <row r="66" spans="1:6">
      <c r="A66" s="39"/>
      <c r="B66" s="67"/>
      <c r="C66" s="89"/>
      <c r="D66" s="89"/>
      <c r="E66" s="89"/>
      <c r="F66" s="89"/>
    </row>
    <row r="67" spans="1:6">
      <c r="A67" s="39"/>
      <c r="B67" s="67"/>
      <c r="C67" s="89"/>
      <c r="D67" s="89"/>
      <c r="E67" s="89"/>
      <c r="F67" s="89"/>
    </row>
    <row r="68" spans="1:6">
      <c r="A68" s="39"/>
      <c r="B68" s="67"/>
      <c r="C68" s="89"/>
      <c r="D68" s="89"/>
      <c r="E68" s="89"/>
      <c r="F68" s="89"/>
    </row>
    <row r="69" spans="1:6">
      <c r="A69" s="39"/>
      <c r="B69" s="67"/>
      <c r="C69" s="89"/>
      <c r="D69" s="89"/>
      <c r="E69" s="89"/>
      <c r="F69" s="89"/>
    </row>
    <row r="70" spans="1:6">
      <c r="A70" s="39"/>
      <c r="B70" s="67"/>
      <c r="C70" s="89"/>
      <c r="D70" s="89"/>
      <c r="E70" s="89"/>
      <c r="F70" s="89"/>
    </row>
    <row r="71" spans="1:6">
      <c r="A71" s="39"/>
      <c r="B71" s="67"/>
      <c r="C71" s="89"/>
      <c r="D71" s="89"/>
      <c r="E71" s="89"/>
      <c r="F71" s="89"/>
    </row>
    <row r="72" spans="1:6">
      <c r="A72" s="39"/>
      <c r="B72" s="67"/>
      <c r="C72" s="89"/>
      <c r="D72" s="89"/>
      <c r="E72" s="89"/>
      <c r="F72" s="89"/>
    </row>
    <row r="73" spans="1:6">
      <c r="A73" s="39"/>
      <c r="B73" s="67"/>
      <c r="C73" s="89"/>
      <c r="D73" s="89"/>
      <c r="E73" s="89"/>
      <c r="F73" s="89"/>
    </row>
    <row r="74" spans="1:6">
      <c r="A74" s="39"/>
      <c r="B74" s="67"/>
      <c r="C74" s="89"/>
      <c r="D74" s="89"/>
      <c r="E74" s="89"/>
      <c r="F74" s="89"/>
    </row>
    <row r="75" spans="1:6">
      <c r="A75" s="39"/>
      <c r="B75" s="67"/>
      <c r="C75" s="89"/>
      <c r="D75" s="89"/>
      <c r="E75" s="89"/>
      <c r="F75" s="89"/>
    </row>
    <row r="76" spans="1:6">
      <c r="A76" s="39"/>
      <c r="B76" s="67"/>
      <c r="C76" s="89"/>
      <c r="D76" s="89"/>
      <c r="E76" s="89"/>
      <c r="F76" s="89"/>
    </row>
    <row r="77" spans="1:6">
      <c r="A77" s="39"/>
      <c r="B77" s="67"/>
      <c r="C77" s="89"/>
      <c r="D77" s="89"/>
      <c r="E77" s="89"/>
      <c r="F77" s="89"/>
    </row>
    <row r="78" spans="1:6">
      <c r="A78" s="39"/>
      <c r="B78" s="67"/>
      <c r="C78" s="89"/>
      <c r="D78" s="89"/>
      <c r="E78" s="89"/>
      <c r="F78" s="89"/>
    </row>
    <row r="79" spans="1:6">
      <c r="A79" s="39"/>
      <c r="B79" s="67"/>
      <c r="C79" s="89"/>
      <c r="D79" s="89"/>
      <c r="E79" s="89"/>
      <c r="F79" s="89"/>
    </row>
    <row r="80" spans="1:6">
      <c r="A80" s="39"/>
      <c r="B80" s="67"/>
      <c r="C80" s="89"/>
      <c r="D80" s="89"/>
      <c r="E80" s="89"/>
      <c r="F80" s="89"/>
    </row>
    <row r="81" spans="1:6">
      <c r="A81" s="39"/>
      <c r="B81" s="67"/>
      <c r="C81" s="89"/>
      <c r="D81" s="89"/>
      <c r="E81" s="89"/>
      <c r="F81" s="89"/>
    </row>
    <row r="82" spans="1:6">
      <c r="A82" s="39"/>
      <c r="B82" s="67"/>
      <c r="C82" s="89"/>
      <c r="D82" s="89"/>
      <c r="E82" s="89"/>
      <c r="F82" s="89"/>
    </row>
    <row r="83" spans="1:6">
      <c r="A83" s="39"/>
      <c r="B83" s="67"/>
      <c r="C83" s="89"/>
      <c r="D83" s="89"/>
      <c r="E83" s="89"/>
      <c r="F83" s="89"/>
    </row>
    <row r="84" spans="1:6">
      <c r="A84" s="39"/>
      <c r="B84" s="67"/>
      <c r="C84" s="89"/>
      <c r="D84" s="89"/>
      <c r="E84" s="89"/>
      <c r="F84" s="89"/>
    </row>
    <row r="111" spans="1:1">
      <c r="A111" s="11" t="s">
        <v>173</v>
      </c>
    </row>
    <row r="113" spans="1:6">
      <c r="A113" s="11" t="s">
        <v>174</v>
      </c>
    </row>
    <row r="115" spans="1:6" ht="13.5" thickBot="1">
      <c r="A115" s="21" t="s">
        <v>175</v>
      </c>
      <c r="B115" s="21"/>
      <c r="C115" s="24" t="str">
        <f>Inputs!$C$11</f>
        <v>Irr Corn</v>
      </c>
      <c r="D115" s="24" t="str">
        <f>Inputs!$D$11</f>
        <v>Irr Soybeans</v>
      </c>
      <c r="E115" s="24" t="str">
        <f>Inputs!$E$11</f>
        <v>Dry Corn</v>
      </c>
      <c r="F115" s="24" t="str">
        <f>Inputs!$F$11</f>
        <v>Dry Soybeans</v>
      </c>
    </row>
    <row r="116" spans="1:6">
      <c r="A116" t="s">
        <v>176</v>
      </c>
      <c r="C116" s="90">
        <f>1-C9</f>
        <v>0.5</v>
      </c>
      <c r="D116" s="90">
        <f>1-D9</f>
        <v>0.5</v>
      </c>
      <c r="E116" s="90">
        <f>1-E9</f>
        <v>0.5</v>
      </c>
      <c r="F116" s="90">
        <f>1-F9</f>
        <v>0.5</v>
      </c>
    </row>
    <row r="117" spans="1:6">
      <c r="A117" t="str">
        <f>Inputs!$A$20</f>
        <v xml:space="preserve">   Net Gov't Payments per Acre</v>
      </c>
      <c r="C117" s="90">
        <f t="shared" ref="C117:F118" si="0">1-C10</f>
        <v>0.5</v>
      </c>
      <c r="D117" s="90">
        <f t="shared" si="0"/>
        <v>0.5</v>
      </c>
      <c r="E117" s="90">
        <f t="shared" si="0"/>
        <v>0.5</v>
      </c>
      <c r="F117" s="90">
        <f t="shared" si="0"/>
        <v>0.5</v>
      </c>
    </row>
    <row r="118" spans="1:6">
      <c r="A118" t="str">
        <f>Inputs!$A$21</f>
        <v xml:space="preserve">   Other Income per Acre</v>
      </c>
      <c r="B118" s="18"/>
      <c r="C118" s="90">
        <f t="shared" si="0"/>
        <v>0.5</v>
      </c>
      <c r="D118" s="90">
        <f t="shared" si="0"/>
        <v>0.5</v>
      </c>
      <c r="E118" s="90">
        <f t="shared" si="0"/>
        <v>0.5</v>
      </c>
      <c r="F118" s="90">
        <f t="shared" si="0"/>
        <v>0.5</v>
      </c>
    </row>
    <row r="120" spans="1:6" ht="13.5" thickBot="1">
      <c r="A120" s="21" t="s">
        <v>177</v>
      </c>
      <c r="B120" s="21"/>
      <c r="C120" s="24" t="str">
        <f>Inputs!$C$11</f>
        <v>Irr Corn</v>
      </c>
      <c r="D120" s="24" t="str">
        <f>Inputs!$D$11</f>
        <v>Irr Soybeans</v>
      </c>
      <c r="E120" s="24" t="str">
        <f>Inputs!$E$11</f>
        <v>Dry Corn</v>
      </c>
      <c r="F120" s="24" t="str">
        <f>Inputs!$F$11</f>
        <v>Dry Soybeans</v>
      </c>
    </row>
    <row r="121" spans="1:6">
      <c r="A121" s="45" t="s">
        <v>178</v>
      </c>
      <c r="B121" s="67"/>
      <c r="C121" s="90">
        <f t="shared" ref="C121:F122" si="1">1-C14</f>
        <v>0</v>
      </c>
      <c r="D121" s="90">
        <f t="shared" si="1"/>
        <v>0</v>
      </c>
      <c r="E121" s="90">
        <f t="shared" si="1"/>
        <v>0</v>
      </c>
      <c r="F121" s="90">
        <f t="shared" si="1"/>
        <v>0</v>
      </c>
    </row>
    <row r="122" spans="1:6">
      <c r="A122" t="s">
        <v>179</v>
      </c>
      <c r="C122" s="90">
        <f t="shared" si="1"/>
        <v>0.5</v>
      </c>
      <c r="D122" s="90">
        <f t="shared" si="1"/>
        <v>0.5</v>
      </c>
      <c r="E122" s="90">
        <f t="shared" si="1"/>
        <v>0.5</v>
      </c>
      <c r="F122" s="90">
        <f t="shared" si="1"/>
        <v>0.5</v>
      </c>
    </row>
    <row r="123" spans="1:6">
      <c r="A123" t="s">
        <v>180</v>
      </c>
      <c r="C123" s="90">
        <f t="shared" ref="C123:F126" si="2">1-C16</f>
        <v>0</v>
      </c>
      <c r="D123" s="90">
        <f t="shared" si="2"/>
        <v>0</v>
      </c>
      <c r="E123" s="90">
        <f t="shared" si="2"/>
        <v>0</v>
      </c>
      <c r="F123" s="90">
        <f t="shared" si="2"/>
        <v>0</v>
      </c>
    </row>
    <row r="124" spans="1:6">
      <c r="A124" t="s">
        <v>181</v>
      </c>
      <c r="C124" s="90">
        <f t="shared" si="2"/>
        <v>0.5</v>
      </c>
      <c r="D124" s="90">
        <f t="shared" si="2"/>
        <v>0.5</v>
      </c>
      <c r="E124" s="90">
        <f t="shared" si="2"/>
        <v>0.5</v>
      </c>
      <c r="F124" s="90">
        <f t="shared" si="2"/>
        <v>0.5</v>
      </c>
    </row>
    <row r="125" spans="1:6">
      <c r="A125" s="45" t="s">
        <v>182</v>
      </c>
      <c r="B125" s="67"/>
      <c r="C125" s="90">
        <f>1-C18</f>
        <v>0.5</v>
      </c>
      <c r="D125" s="90">
        <f>1-D18</f>
        <v>0.5</v>
      </c>
      <c r="E125" s="90">
        <f>1-E18</f>
        <v>0.5</v>
      </c>
      <c r="F125" s="90">
        <f>1-F18</f>
        <v>0.5</v>
      </c>
    </row>
    <row r="126" spans="1:6">
      <c r="A126" t="s">
        <v>183</v>
      </c>
      <c r="C126" s="90">
        <f t="shared" si="2"/>
        <v>0.5</v>
      </c>
      <c r="D126" s="90">
        <f t="shared" si="2"/>
        <v>0.5</v>
      </c>
      <c r="E126" s="90">
        <f t="shared" si="2"/>
        <v>0.5</v>
      </c>
      <c r="F126" s="90">
        <f t="shared" si="2"/>
        <v>0.5</v>
      </c>
    </row>
    <row r="127" spans="1:6">
      <c r="A127" s="18" t="s">
        <v>172</v>
      </c>
      <c r="B127" s="18"/>
      <c r="C127" s="90">
        <f t="shared" ref="C127:F131" si="3">1-C20</f>
        <v>0</v>
      </c>
      <c r="D127" s="90">
        <f t="shared" si="3"/>
        <v>0</v>
      </c>
      <c r="E127" s="90">
        <f t="shared" si="3"/>
        <v>0</v>
      </c>
      <c r="F127" s="90">
        <f t="shared" si="3"/>
        <v>0</v>
      </c>
    </row>
    <row r="128" spans="1:6">
      <c r="A128" s="45" t="s">
        <v>184</v>
      </c>
      <c r="B128" s="88"/>
      <c r="C128" s="90">
        <f t="shared" si="3"/>
        <v>0</v>
      </c>
      <c r="D128" s="90">
        <f t="shared" si="3"/>
        <v>0</v>
      </c>
      <c r="E128" s="90">
        <f t="shared" si="3"/>
        <v>0</v>
      </c>
      <c r="F128" s="90">
        <f t="shared" si="3"/>
        <v>0</v>
      </c>
    </row>
    <row r="129" spans="1:6">
      <c r="A129" s="18" t="s">
        <v>96</v>
      </c>
      <c r="B129" s="18"/>
      <c r="C129" s="90">
        <f t="shared" si="3"/>
        <v>0.5</v>
      </c>
      <c r="D129" s="90">
        <f t="shared" si="3"/>
        <v>0.5</v>
      </c>
      <c r="E129" s="90">
        <f t="shared" si="3"/>
        <v>0.5</v>
      </c>
      <c r="F129" s="90">
        <f t="shared" si="3"/>
        <v>0.5</v>
      </c>
    </row>
    <row r="130" spans="1:6">
      <c r="A130" s="45" t="s">
        <v>185</v>
      </c>
      <c r="B130" s="64"/>
      <c r="C130" s="90">
        <f t="shared" si="3"/>
        <v>0</v>
      </c>
      <c r="D130" s="90">
        <f t="shared" si="3"/>
        <v>0</v>
      </c>
      <c r="E130" s="90">
        <f t="shared" si="3"/>
        <v>0</v>
      </c>
      <c r="F130" s="90">
        <f t="shared" si="3"/>
        <v>0</v>
      </c>
    </row>
    <row r="131" spans="1:6">
      <c r="A131" s="18" t="s">
        <v>186</v>
      </c>
      <c r="B131" s="18"/>
      <c r="C131" s="90">
        <f t="shared" si="3"/>
        <v>0.5</v>
      </c>
      <c r="D131" s="90">
        <f t="shared" si="3"/>
        <v>0.5</v>
      </c>
      <c r="E131" s="90">
        <f t="shared" si="3"/>
        <v>0.5</v>
      </c>
      <c r="F131" s="90">
        <f t="shared" si="3"/>
        <v>0.5</v>
      </c>
    </row>
    <row r="133" spans="1:6" ht="13.5" thickBot="1">
      <c r="A133" s="21" t="s">
        <v>187</v>
      </c>
      <c r="B133" s="91"/>
      <c r="C133" s="24" t="str">
        <f>Inputs!$C$11</f>
        <v>Irr Corn</v>
      </c>
      <c r="D133" s="24" t="str">
        <f>Inputs!$D$11</f>
        <v>Irr Soybeans</v>
      </c>
      <c r="E133" s="24" t="str">
        <f>Inputs!$E$11</f>
        <v>Dry Corn</v>
      </c>
      <c r="F133" s="24" t="str">
        <f>Inputs!$F$11</f>
        <v>Dry Soybeans</v>
      </c>
    </row>
    <row r="134" spans="1:6">
      <c r="A134" t="s">
        <v>120</v>
      </c>
      <c r="C134" s="90">
        <f>1-C27</f>
        <v>1</v>
      </c>
      <c r="D134" s="90">
        <f t="shared" ref="D134:F135" si="4">1-D27</f>
        <v>1</v>
      </c>
      <c r="E134" s="90">
        <f t="shared" si="4"/>
        <v>1</v>
      </c>
      <c r="F134" s="90">
        <f t="shared" si="4"/>
        <v>1</v>
      </c>
    </row>
    <row r="135" spans="1:6">
      <c r="A135" s="45" t="s">
        <v>172</v>
      </c>
      <c r="B135" s="67"/>
      <c r="C135" s="90">
        <f>1-C28</f>
        <v>0</v>
      </c>
      <c r="D135" s="90">
        <f t="shared" si="4"/>
        <v>0</v>
      </c>
      <c r="E135" s="90">
        <f t="shared" si="4"/>
        <v>0</v>
      </c>
      <c r="F135" s="90">
        <f t="shared" si="4"/>
        <v>0</v>
      </c>
    </row>
  </sheetData>
  <sheetProtection password="C1B5" sheet="1" objects="1" scenarios="1"/>
  <mergeCells count="2">
    <mergeCell ref="A1:F1"/>
    <mergeCell ref="A7:F7"/>
  </mergeCells>
  <phoneticPr fontId="0" type="noConversion"/>
  <pageMargins left="0.75" right="0.75" top="0.75" bottom="0.75" header="0.5" footer="0.5"/>
  <pageSetup scale="97" orientation="portrait" horizontalDpi="300" verticalDpi="300" r:id="rId1"/>
  <headerFooter alignWithMargins="0"/>
  <colBreaks count="1" manualBreakCount="1">
    <brk id="6" max="1048575" man="1"/>
  </colBreaks>
  <legacyDrawing r:id="rId2"/>
</worksheet>
</file>

<file path=xl/worksheets/sheet4.xml><?xml version="1.0" encoding="utf-8"?>
<worksheet xmlns="http://schemas.openxmlformats.org/spreadsheetml/2006/main" xmlns:r="http://schemas.openxmlformats.org/officeDocument/2006/relationships">
  <sheetPr codeName="Sheet3"/>
  <dimension ref="A1:I144"/>
  <sheetViews>
    <sheetView topLeftCell="A52" zoomScaleNormal="100" workbookViewId="0">
      <selection activeCell="A2" sqref="A2"/>
    </sheetView>
  </sheetViews>
  <sheetFormatPr defaultRowHeight="12.75"/>
  <cols>
    <col min="1" max="1" width="44.28515625" customWidth="1"/>
    <col min="2" max="5" width="12.85546875" customWidth="1"/>
    <col min="6" max="6" width="3.7109375" customWidth="1"/>
    <col min="7" max="7" width="14.28515625" customWidth="1"/>
    <col min="8" max="8" width="11.42578125" customWidth="1"/>
  </cols>
  <sheetData>
    <row r="1" spans="1:8" ht="18.75" thickBot="1">
      <c r="A1" s="270" t="s">
        <v>188</v>
      </c>
      <c r="B1" s="271"/>
      <c r="C1" s="271"/>
      <c r="D1" s="271"/>
      <c r="E1" s="271"/>
      <c r="F1" s="271"/>
      <c r="G1" s="271"/>
      <c r="H1" s="271"/>
    </row>
    <row r="2" spans="1:8">
      <c r="A2" s="10"/>
      <c r="B2" s="10"/>
      <c r="D2" s="10"/>
    </row>
    <row r="3" spans="1:8" ht="15">
      <c r="A3" s="93" t="str">
        <f>Inputs!B4</f>
        <v>Average Joe Landowner</v>
      </c>
      <c r="D3" s="39"/>
      <c r="H3" s="15"/>
    </row>
    <row r="4" spans="1:8" ht="15">
      <c r="A4" s="93" t="str">
        <f>Inputs!B9</f>
        <v>Pivot Irrigated Quarter Section with Dryland Corners</v>
      </c>
      <c r="D4" s="39"/>
      <c r="H4" s="15"/>
    </row>
    <row r="5" spans="1:8" ht="12.75" customHeight="1">
      <c r="H5" s="15"/>
    </row>
    <row r="6" spans="1:8" ht="13.5" thickBot="1">
      <c r="A6" s="94" t="s">
        <v>22</v>
      </c>
      <c r="B6" s="95" t="str">
        <f>IF(Inputs!$C$12,Inputs!$C$11,"")</f>
        <v>Irr Corn</v>
      </c>
      <c r="C6" s="95" t="str">
        <f>IF(Inputs!$D$12,Inputs!$D$11,"")</f>
        <v>Irr Soybeans</v>
      </c>
      <c r="D6" s="95" t="str">
        <f>IF(Inputs!$E$12,Inputs!$E$11,"")</f>
        <v>Dry Corn</v>
      </c>
      <c r="E6" s="95" t="str">
        <f>IF(Inputs!$F$12,Inputs!$F$11,"")</f>
        <v>Dry Soybeans</v>
      </c>
      <c r="F6" s="95"/>
      <c r="G6" s="95" t="s">
        <v>23</v>
      </c>
      <c r="H6" s="95" t="s">
        <v>288</v>
      </c>
    </row>
    <row r="7" spans="1:8">
      <c r="A7" s="11" t="s">
        <v>189</v>
      </c>
      <c r="B7" s="68">
        <f>IF(Inputs!C12,Inputs!$C$12,"")</f>
        <v>65</v>
      </c>
      <c r="C7" s="68">
        <f>IF(Inputs!D12,Inputs!$D$12,"")</f>
        <v>65</v>
      </c>
      <c r="D7" s="68">
        <f>IF(Inputs!E12,Inputs!$E$12,"")</f>
        <v>15</v>
      </c>
      <c r="E7" s="68">
        <f>IF(Inputs!F12,Inputs!$F$12,"")</f>
        <v>15</v>
      </c>
      <c r="F7" s="68"/>
      <c r="G7" s="68">
        <f>IF(Inputs!J12,SUM(B7:E7),"")</f>
        <v>160</v>
      </c>
      <c r="H7" s="96" t="s">
        <v>28</v>
      </c>
    </row>
    <row r="8" spans="1:8">
      <c r="A8" s="27"/>
      <c r="B8" s="26"/>
      <c r="C8" s="26"/>
      <c r="D8" s="26"/>
      <c r="E8" s="26"/>
      <c r="F8" s="26"/>
      <c r="G8" s="26"/>
      <c r="H8" s="96"/>
    </row>
    <row r="9" spans="1:8" ht="13.5" thickBot="1">
      <c r="A9" s="97" t="s">
        <v>190</v>
      </c>
      <c r="B9" s="95" t="str">
        <f>IF(Inputs!$C$12,Inputs!$C$11,"")</f>
        <v>Irr Corn</v>
      </c>
      <c r="C9" s="95" t="str">
        <f>IF(Inputs!$D$12,Inputs!$D$11,"")</f>
        <v>Irr Soybeans</v>
      </c>
      <c r="D9" s="95" t="str">
        <f>IF(Inputs!$E$12,Inputs!$E$11,"")</f>
        <v>Dry Corn</v>
      </c>
      <c r="E9" s="95" t="str">
        <f>IF(Inputs!$F$12,Inputs!$F$11,"")</f>
        <v>Dry Soybeans</v>
      </c>
      <c r="F9" s="98"/>
      <c r="G9" s="95" t="s">
        <v>23</v>
      </c>
      <c r="H9" s="95" t="s">
        <v>288</v>
      </c>
    </row>
    <row r="10" spans="1:8">
      <c r="A10" t="s">
        <v>191</v>
      </c>
      <c r="B10" s="99">
        <f>IF(Inputs!C12,Inputs!C115,"")</f>
        <v>300</v>
      </c>
      <c r="C10" s="99">
        <f>IF(Inputs!D12,Inputs!D115,"")</f>
        <v>300</v>
      </c>
      <c r="D10" s="99">
        <f>IF(Inputs!E12,Inputs!E115,"")</f>
        <v>200</v>
      </c>
      <c r="E10" s="99">
        <f>IF(Inputs!F12,Inputs!F115,"")</f>
        <v>200</v>
      </c>
      <c r="G10" s="46">
        <f>IF(Inputs!J12,SUMPRODUCT($B$7:$E$7,B10:E10),"")</f>
        <v>45000</v>
      </c>
      <c r="H10" s="46">
        <f>IF(Inputs!$J$12,G10/Inputs!$J$13,"")</f>
        <v>281.25</v>
      </c>
    </row>
    <row r="11" spans="1:8">
      <c r="A11" s="11" t="s">
        <v>33</v>
      </c>
      <c r="B11" s="85">
        <f>B10</f>
        <v>300</v>
      </c>
      <c r="C11" s="85">
        <f>C10</f>
        <v>300</v>
      </c>
      <c r="D11" s="85">
        <f>D10</f>
        <v>200</v>
      </c>
      <c r="E11" s="85">
        <f>E10</f>
        <v>200</v>
      </c>
      <c r="F11" s="85"/>
      <c r="G11" s="44">
        <f>IF(Inputs!J12,G10,"")</f>
        <v>45000</v>
      </c>
      <c r="H11" s="44">
        <f>IF(Inputs!$J$12,G11/Inputs!$J$13,"")</f>
        <v>281.25</v>
      </c>
    </row>
    <row r="12" spans="1:8">
      <c r="A12" s="11"/>
      <c r="B12" s="85"/>
      <c r="C12" s="85"/>
      <c r="D12" s="85"/>
      <c r="E12" s="85"/>
      <c r="F12" s="85"/>
      <c r="G12" s="44"/>
      <c r="H12" s="44"/>
    </row>
    <row r="13" spans="1:8" ht="13.5" thickBot="1">
      <c r="A13" s="97" t="s">
        <v>192</v>
      </c>
      <c r="B13" s="95" t="str">
        <f>IF(Inputs!$C$12,Inputs!$C$11,"")</f>
        <v>Irr Corn</v>
      </c>
      <c r="C13" s="95" t="str">
        <f>IF(Inputs!$D$12,Inputs!$D$11,"")</f>
        <v>Irr Soybeans</v>
      </c>
      <c r="D13" s="95" t="str">
        <f>IF(Inputs!$E$12,Inputs!$E$11,"")</f>
        <v>Dry Corn</v>
      </c>
      <c r="E13" s="95" t="str">
        <f>IF(Inputs!$F$12,Inputs!$F$11,"")</f>
        <v>Dry Soybeans</v>
      </c>
      <c r="F13" s="98"/>
      <c r="G13" s="95" t="s">
        <v>23</v>
      </c>
      <c r="H13" s="95" t="s">
        <v>288</v>
      </c>
    </row>
    <row r="14" spans="1:8">
      <c r="A14" s="45" t="s">
        <v>193</v>
      </c>
      <c r="B14" s="37">
        <f>IF(Inputs!$C$12,Inputs!C125,"")</f>
        <v>38</v>
      </c>
      <c r="C14" s="37">
        <f>IF(Inputs!$D$12,Inputs!D125,"")</f>
        <v>38</v>
      </c>
      <c r="D14" s="37">
        <f>IF(Inputs!$E$12,Inputs!E125,"")</f>
        <v>28</v>
      </c>
      <c r="E14" s="37">
        <f>IF(Inputs!$F$12,Inputs!F125,"")</f>
        <v>28</v>
      </c>
      <c r="F14" s="37"/>
      <c r="G14" s="46">
        <f>IF(Inputs!J12,SUMPRODUCT($B$7:$E$7,B14:E14),"")</f>
        <v>5780</v>
      </c>
      <c r="H14" s="46">
        <f>IF(Inputs!$J$12,G14/Inputs!$J$13,"")</f>
        <v>36.125</v>
      </c>
    </row>
    <row r="15" spans="1:8">
      <c r="A15" t="s">
        <v>194</v>
      </c>
      <c r="B15" s="37">
        <f>IF(Inputs!$C$12,Inputs!C129,"")</f>
        <v>0</v>
      </c>
      <c r="C15" s="37">
        <f>IF(Inputs!$D$12,Inputs!D129,"")</f>
        <v>0</v>
      </c>
      <c r="D15" s="37">
        <f>IF(Inputs!$E$12,Inputs!E129,"")</f>
        <v>0</v>
      </c>
      <c r="E15" s="37">
        <f>IF(Inputs!$F$12,Inputs!F129,"")</f>
        <v>0</v>
      </c>
      <c r="F15" s="26"/>
      <c r="G15" s="46">
        <f>IF(Inputs!J12,SUMPRODUCT($B$7:$E$7,B15:E15),"")</f>
        <v>0</v>
      </c>
      <c r="H15" s="46">
        <f>IF(Inputs!$J$12,G15/Inputs!$J$13,"")</f>
        <v>0</v>
      </c>
    </row>
    <row r="16" spans="1:8">
      <c r="A16" t="s">
        <v>169</v>
      </c>
      <c r="B16" s="37">
        <f>IF(Inputs!$C$12,Inputs!C269,"")</f>
        <v>62.063186813186817</v>
      </c>
      <c r="C16" s="37">
        <f>IF(Inputs!$D$12,Inputs!D269,"")</f>
        <v>62.063186813186817</v>
      </c>
      <c r="D16" s="37">
        <f>IF(Inputs!$E$12,Inputs!E269,"")</f>
        <v>0</v>
      </c>
      <c r="E16" s="37">
        <f>IF(Inputs!$F$12,Inputs!F269,"")</f>
        <v>0</v>
      </c>
      <c r="F16" s="37"/>
      <c r="G16" s="46">
        <f>IF(Inputs!J12,SUMPRODUCT($B$7:$E$7,B16:E16),"")</f>
        <v>8068.2142857142862</v>
      </c>
      <c r="H16" s="46">
        <f>IF(Inputs!$J$12,G16/Inputs!$J$13,"")</f>
        <v>50.426339285714292</v>
      </c>
    </row>
    <row r="17" spans="1:9">
      <c r="A17" s="11" t="s">
        <v>195</v>
      </c>
      <c r="B17" s="44">
        <f>IF(Inputs!C12,SUM(B14:B16),"")</f>
        <v>100.06318681318682</v>
      </c>
      <c r="C17" s="44">
        <f>IF(Inputs!D12,SUM(C14:C16),"")</f>
        <v>100.06318681318682</v>
      </c>
      <c r="D17" s="44">
        <f>IF(Inputs!E12,SUM(D14:D16),"")</f>
        <v>28</v>
      </c>
      <c r="E17" s="44">
        <f>IF(Inputs!F12,SUM(E14:E16),"")</f>
        <v>28</v>
      </c>
      <c r="F17" s="44"/>
      <c r="G17" s="44">
        <f>IF(Inputs!J12,SUMPRODUCT($B$7:$E$7,B17:E17),"")</f>
        <v>13848.214285714286</v>
      </c>
      <c r="H17" s="44">
        <f>IF(Inputs!$J$12,G17/Inputs!$J$13,"")</f>
        <v>86.551339285714292</v>
      </c>
    </row>
    <row r="18" spans="1:9">
      <c r="A18" s="11"/>
      <c r="B18" s="44"/>
      <c r="C18" s="44"/>
      <c r="D18" s="44"/>
      <c r="E18" s="44"/>
      <c r="F18" s="44"/>
      <c r="G18" s="44"/>
      <c r="H18" s="44"/>
    </row>
    <row r="19" spans="1:9" ht="13.5" thickBot="1">
      <c r="A19" s="97" t="s">
        <v>196</v>
      </c>
      <c r="B19" s="95" t="str">
        <f>IF(Inputs!$C$12,Inputs!$C$11,"")</f>
        <v>Irr Corn</v>
      </c>
      <c r="C19" s="95" t="str">
        <f>IF(Inputs!$D$12,Inputs!$D$11,"")</f>
        <v>Irr Soybeans</v>
      </c>
      <c r="D19" s="95" t="str">
        <f>IF(Inputs!$E$12,Inputs!$E$11,"")</f>
        <v>Dry Corn</v>
      </c>
      <c r="E19" s="95" t="str">
        <f>IF(Inputs!$F$12,Inputs!$F$11,"")</f>
        <v>Dry Soybeans</v>
      </c>
      <c r="F19" s="98"/>
      <c r="G19" s="95" t="s">
        <v>23</v>
      </c>
      <c r="H19" s="95" t="s">
        <v>288</v>
      </c>
    </row>
    <row r="20" spans="1:9">
      <c r="A20" s="100" t="s">
        <v>289</v>
      </c>
      <c r="B20" s="40">
        <f>IF(Inputs!C12,B17,"")</f>
        <v>100.06318681318682</v>
      </c>
      <c r="C20" s="40">
        <f>IF(Inputs!D12,C17,"")</f>
        <v>100.06318681318682</v>
      </c>
      <c r="D20" s="40">
        <f>IF(Inputs!E12,D17,"")</f>
        <v>28</v>
      </c>
      <c r="E20" s="40">
        <f>IF(Inputs!F12,E17,"")</f>
        <v>28</v>
      </c>
      <c r="F20" s="40"/>
      <c r="G20" s="46">
        <f>IF(Inputs!J12,SUMPRODUCT($B$7:$E$7,B20:E20),"")</f>
        <v>13848.214285714286</v>
      </c>
      <c r="H20" s="46">
        <f>IF(Inputs!$J$12,G20/Inputs!$J$13,"")</f>
        <v>86.551339285714292</v>
      </c>
    </row>
    <row r="21" spans="1:9">
      <c r="A21" s="42" t="s">
        <v>197</v>
      </c>
      <c r="B21" s="41">
        <f>IF(Inputs!C12,B11-B20,"")</f>
        <v>199.9368131868132</v>
      </c>
      <c r="C21" s="41">
        <f>IF(Inputs!D12,C11-C20,"")</f>
        <v>199.9368131868132</v>
      </c>
      <c r="D21" s="41">
        <f>IF(Inputs!E12,D11-D20,"")</f>
        <v>172</v>
      </c>
      <c r="E21" s="41">
        <f>IF(Inputs!F12,E11-E20,"")</f>
        <v>172</v>
      </c>
      <c r="F21" s="41"/>
      <c r="G21" s="41">
        <f>IF(Inputs!J12,G11-G20,"")</f>
        <v>31151.785714285714</v>
      </c>
      <c r="H21" s="44">
        <f>IF(Inputs!$J$12,G21/Inputs!$J$13,"")</f>
        <v>194.69866071428572</v>
      </c>
    </row>
    <row r="22" spans="1:9">
      <c r="A22" s="10"/>
      <c r="B22" s="10"/>
      <c r="D22" s="10"/>
      <c r="H22" s="68"/>
    </row>
    <row r="23" spans="1:9" ht="13.5" thickBot="1">
      <c r="A23" s="97" t="s">
        <v>198</v>
      </c>
      <c r="B23" s="95" t="str">
        <f>IF(Inputs!$C$12,Inputs!$C$11,"")</f>
        <v>Irr Corn</v>
      </c>
      <c r="C23" s="95" t="str">
        <f>IF(Inputs!$D$12,Inputs!$D$11,"")</f>
        <v>Irr Soybeans</v>
      </c>
      <c r="D23" s="95" t="str">
        <f>IF(Inputs!$E$12,Inputs!$E$11,"")</f>
        <v>Dry Corn</v>
      </c>
      <c r="E23" s="95" t="str">
        <f>IF(Inputs!$F$12,Inputs!$F$11,"")</f>
        <v>Dry Soybeans</v>
      </c>
      <c r="F23" s="98"/>
      <c r="G23" s="95"/>
      <c r="H23" s="101"/>
    </row>
    <row r="24" spans="1:9">
      <c r="A24" s="45" t="s">
        <v>290</v>
      </c>
      <c r="B24" s="102">
        <f>IF(Inputs!C12,B17,"")</f>
        <v>100.06318681318682</v>
      </c>
      <c r="C24" s="102">
        <f>IF(Inputs!D12,C17,"")</f>
        <v>100.06318681318682</v>
      </c>
      <c r="D24" s="102">
        <f>IF(Inputs!E12,D17,"")</f>
        <v>28</v>
      </c>
      <c r="E24" s="102">
        <f>IF(Inputs!F12,E17,"")</f>
        <v>28</v>
      </c>
      <c r="F24" s="45"/>
      <c r="G24" s="199" t="s">
        <v>28</v>
      </c>
      <c r="H24" s="199" t="s">
        <v>28</v>
      </c>
    </row>
    <row r="25" spans="1:9">
      <c r="A25" s="103"/>
      <c r="B25" s="10"/>
      <c r="D25" s="10"/>
      <c r="H25" s="68"/>
    </row>
    <row r="26" spans="1:9">
      <c r="A26" s="103"/>
      <c r="B26" s="10"/>
      <c r="D26" s="10"/>
      <c r="H26" s="68"/>
    </row>
    <row r="27" spans="1:9">
      <c r="A27" s="103"/>
      <c r="B27" s="10"/>
      <c r="D27" s="10"/>
      <c r="H27" s="68"/>
    </row>
    <row r="28" spans="1:9">
      <c r="A28" s="103"/>
      <c r="B28" s="10"/>
      <c r="D28" s="10"/>
      <c r="H28" s="68"/>
    </row>
    <row r="29" spans="1:9">
      <c r="A29" s="103"/>
      <c r="B29" s="10"/>
      <c r="D29" s="10"/>
      <c r="H29" s="68"/>
    </row>
    <row r="30" spans="1:9" ht="18.75" thickBot="1">
      <c r="A30" s="272" t="s">
        <v>199</v>
      </c>
      <c r="B30" s="273"/>
      <c r="C30" s="273"/>
      <c r="D30" s="273"/>
      <c r="E30" s="273"/>
      <c r="F30" s="273"/>
      <c r="G30" s="273"/>
      <c r="H30" s="273"/>
    </row>
    <row r="31" spans="1:9">
      <c r="A31" s="10"/>
      <c r="B31" s="10"/>
      <c r="D31" s="10"/>
    </row>
    <row r="32" spans="1:9" ht="15">
      <c r="A32" s="105" t="str">
        <f>Inputs!H4</f>
        <v>Average Joe Tenant</v>
      </c>
      <c r="F32" s="18"/>
      <c r="G32" s="18"/>
      <c r="H32" s="15"/>
      <c r="I32" s="18"/>
    </row>
    <row r="33" spans="1:9" ht="15">
      <c r="A33" s="105" t="str">
        <f>Inputs!B9</f>
        <v>Pivot Irrigated Quarter Section with Dryland Corners</v>
      </c>
      <c r="F33" s="18"/>
      <c r="G33" s="18"/>
      <c r="H33" s="15"/>
      <c r="I33" s="18"/>
    </row>
    <row r="34" spans="1:9" ht="12.75" customHeight="1">
      <c r="A34" s="11"/>
      <c r="F34" s="18"/>
      <c r="G34" s="18"/>
      <c r="H34" s="15"/>
      <c r="I34" s="18"/>
    </row>
    <row r="35" spans="1:9" ht="13.5" thickBot="1">
      <c r="A35" s="106" t="s">
        <v>22</v>
      </c>
      <c r="B35" s="107" t="str">
        <f>IF(Inputs!$C$12,Inputs!$C$11,"")</f>
        <v>Irr Corn</v>
      </c>
      <c r="C35" s="107" t="str">
        <f>IF(Inputs!$D$12,Inputs!$D$11,"")</f>
        <v>Irr Soybeans</v>
      </c>
      <c r="D35" s="107" t="str">
        <f>IF(Inputs!$E$12,Inputs!$E$11,"")</f>
        <v>Dry Corn</v>
      </c>
      <c r="E35" s="107" t="str">
        <f>IF(Inputs!$F$12,Inputs!$F$11,"")</f>
        <v>Dry Soybeans</v>
      </c>
      <c r="F35" s="107"/>
      <c r="G35" s="107" t="s">
        <v>23</v>
      </c>
      <c r="H35" s="107"/>
    </row>
    <row r="36" spans="1:9">
      <c r="A36" s="11" t="s">
        <v>189</v>
      </c>
      <c r="B36" s="68">
        <f>IF(Inputs!C12,Inputs!$C$12,"")</f>
        <v>65</v>
      </c>
      <c r="C36" s="68">
        <f>IF(Inputs!D12,Inputs!$D$12,"")</f>
        <v>65</v>
      </c>
      <c r="D36" s="68">
        <f>IF(Inputs!E12,Inputs!$E$12,"")</f>
        <v>15</v>
      </c>
      <c r="E36" s="68">
        <f>IF(Inputs!F12,Inputs!$F$12,"")</f>
        <v>15</v>
      </c>
      <c r="F36" s="68"/>
      <c r="G36" s="68">
        <f>IF(Inputs!J12,SUM(B36:E36),"")</f>
        <v>160</v>
      </c>
      <c r="H36" s="96" t="s">
        <v>28</v>
      </c>
    </row>
    <row r="37" spans="1:9">
      <c r="A37" s="27"/>
      <c r="B37" s="26"/>
      <c r="C37" s="26"/>
      <c r="D37" s="26"/>
      <c r="E37" s="26"/>
      <c r="F37" s="26"/>
      <c r="G37" s="26"/>
      <c r="H37" s="96"/>
    </row>
    <row r="38" spans="1:9" ht="13.5" thickBot="1">
      <c r="A38" s="108" t="s">
        <v>200</v>
      </c>
      <c r="B38" s="107" t="str">
        <f>IF(Inputs!$C$12,Inputs!$C$11,"")</f>
        <v>Irr Corn</v>
      </c>
      <c r="C38" s="107" t="str">
        <f>IF(Inputs!$D$12,Inputs!$D$11,"")</f>
        <v>Irr Soybeans</v>
      </c>
      <c r="D38" s="107" t="str">
        <f>IF(Inputs!$E$12,Inputs!$E$11,"")</f>
        <v>Dry Corn</v>
      </c>
      <c r="E38" s="107" t="str">
        <f>IF(Inputs!$F$12,Inputs!$F$11,"")</f>
        <v>Dry Soybeans</v>
      </c>
      <c r="F38" s="109"/>
      <c r="G38" s="107" t="s">
        <v>23</v>
      </c>
      <c r="H38" s="107" t="s">
        <v>288</v>
      </c>
    </row>
    <row r="39" spans="1:9">
      <c r="A39" t="s">
        <v>201</v>
      </c>
      <c r="B39" s="110">
        <f>IF(Inputs!C12,Inputs!C17,"")</f>
        <v>220</v>
      </c>
      <c r="C39" s="110">
        <f>IF(Inputs!D12,Inputs!D17,"")</f>
        <v>60</v>
      </c>
      <c r="D39" s="110">
        <f>IF(Inputs!E12,Inputs!E17,"")</f>
        <v>140</v>
      </c>
      <c r="E39" s="110">
        <f>IF(Inputs!F12,Inputs!F17,"")</f>
        <v>45</v>
      </c>
      <c r="F39" s="37"/>
      <c r="G39" s="96" t="s">
        <v>28</v>
      </c>
      <c r="H39" s="96" t="s">
        <v>28</v>
      </c>
    </row>
    <row r="40" spans="1:9">
      <c r="A40" t="s">
        <v>202</v>
      </c>
      <c r="B40" s="37">
        <f>IF(Inputs!C12,Inputs!C18,"")</f>
        <v>5.5</v>
      </c>
      <c r="C40" s="37">
        <f>IF(Inputs!D12,Inputs!D18,"")</f>
        <v>11.5</v>
      </c>
      <c r="D40" s="37">
        <f>IF(Inputs!E12,Inputs!E18,"")</f>
        <v>5.5</v>
      </c>
      <c r="E40" s="37">
        <f>IF(Inputs!F12,Inputs!F18,"")</f>
        <v>11.5</v>
      </c>
      <c r="F40" s="37"/>
      <c r="G40" s="96" t="s">
        <v>28</v>
      </c>
      <c r="H40" s="96" t="s">
        <v>28</v>
      </c>
    </row>
    <row r="41" spans="1:9">
      <c r="A41" s="11" t="s">
        <v>30</v>
      </c>
      <c r="B41" s="44">
        <f>IF(Inputs!C12,B39*B40,"")</f>
        <v>1210</v>
      </c>
      <c r="C41" s="44">
        <f>IF(Inputs!D12,C39*C40,"")</f>
        <v>690</v>
      </c>
      <c r="D41" s="44">
        <f>IF(Inputs!E12,D39*D40,"")</f>
        <v>770</v>
      </c>
      <c r="E41" s="44">
        <f>IF(Inputs!F12,E39*E40,"")</f>
        <v>517.5</v>
      </c>
      <c r="F41" s="37"/>
      <c r="G41" s="44">
        <f>IF(Inputs!J12,SUMPRODUCT($B$36:$E$36,B41:E41),"")</f>
        <v>142812.5</v>
      </c>
      <c r="H41" s="44">
        <f>IF(Inputs!$J$12,G41/Inputs!$J$13,"")</f>
        <v>892.578125</v>
      </c>
    </row>
    <row r="42" spans="1:9">
      <c r="A42" t="s">
        <v>159</v>
      </c>
      <c r="B42" s="37">
        <f>IF(Inputs!C12,Inputs!C20,"")</f>
        <v>20</v>
      </c>
      <c r="C42" s="37">
        <f>IF(Inputs!D12,Inputs!D20,"")</f>
        <v>20</v>
      </c>
      <c r="D42" s="37">
        <f>IF(Inputs!E12,Inputs!E20,"")</f>
        <v>12</v>
      </c>
      <c r="E42" s="37">
        <f>IF(Inputs!F12,Inputs!F20,"")</f>
        <v>12</v>
      </c>
      <c r="F42" s="37"/>
      <c r="G42" s="46">
        <f>IF(Inputs!J12,SUMPRODUCT($B$36:$E$36,B42:E42),"")</f>
        <v>2960</v>
      </c>
      <c r="H42" s="46">
        <f>IF(Inputs!$J$12,G42/Inputs!$J$13,"")</f>
        <v>18.5</v>
      </c>
    </row>
    <row r="43" spans="1:9">
      <c r="A43" s="18" t="str">
        <f>Inputs!A21</f>
        <v xml:space="preserve">   Other Income per Acre</v>
      </c>
      <c r="B43" s="37">
        <f>IF(Inputs!C12,Inputs!C21,"")</f>
        <v>0</v>
      </c>
      <c r="C43" s="37">
        <f>IF(Inputs!D12,Inputs!D21,"")</f>
        <v>0</v>
      </c>
      <c r="D43" s="37">
        <f>IF(Inputs!E12,Inputs!E21,"")</f>
        <v>0</v>
      </c>
      <c r="E43" s="37">
        <f>IF(Inputs!F12,Inputs!F21,"")</f>
        <v>0</v>
      </c>
      <c r="F43" s="37"/>
      <c r="G43" s="46">
        <f>IF(Inputs!J12,SUMPRODUCT($B$36:$E$36,B43:E43),"")</f>
        <v>0</v>
      </c>
      <c r="H43" s="46">
        <f>IF(Inputs!$J$12,G43/Inputs!$J$13,"")</f>
        <v>0</v>
      </c>
    </row>
    <row r="44" spans="1:9">
      <c r="A44" s="11" t="s">
        <v>33</v>
      </c>
      <c r="B44" s="44">
        <f>IF(Inputs!C12,SUM(B41:B43),"")</f>
        <v>1230</v>
      </c>
      <c r="C44" s="44">
        <f>IF(Inputs!D12,SUM(C41:C43),"")</f>
        <v>710</v>
      </c>
      <c r="D44" s="44">
        <f>IF(Inputs!E12,SUM(D41:D43),"")</f>
        <v>782</v>
      </c>
      <c r="E44" s="44">
        <f>IF(Inputs!F12,SUM(E41:E43),"")</f>
        <v>529.5</v>
      </c>
      <c r="F44" s="44"/>
      <c r="G44" s="44">
        <f>IF(Inputs!J12,SUMPRODUCT($B$36:$E$36,B44:E44),"")</f>
        <v>145772.5</v>
      </c>
      <c r="H44" s="44">
        <f>IF(Inputs!$J$12,G44/Inputs!$J$13,"")</f>
        <v>911.078125</v>
      </c>
    </row>
    <row r="45" spans="1:9">
      <c r="A45" s="11"/>
      <c r="B45" s="44"/>
      <c r="C45" s="44"/>
      <c r="D45" s="44"/>
      <c r="E45" s="44"/>
      <c r="F45" s="44"/>
      <c r="G45" s="44"/>
      <c r="H45" s="44"/>
    </row>
    <row r="46" spans="1:9" ht="13.5" thickBot="1">
      <c r="A46" s="108" t="s">
        <v>203</v>
      </c>
      <c r="B46" s="107" t="str">
        <f>IF(Inputs!$C$12,Inputs!$C$11,"")</f>
        <v>Irr Corn</v>
      </c>
      <c r="C46" s="107" t="str">
        <f>IF(Inputs!$D$12,Inputs!$D$11,"")</f>
        <v>Irr Soybeans</v>
      </c>
      <c r="D46" s="107" t="str">
        <f>IF(Inputs!$E$12,Inputs!$E$11,"")</f>
        <v>Dry Corn</v>
      </c>
      <c r="E46" s="107" t="str">
        <f>IF(Inputs!$F$12,Inputs!$F$11,"")</f>
        <v>Dry Soybeans</v>
      </c>
      <c r="F46" s="109"/>
      <c r="G46" s="107" t="s">
        <v>23</v>
      </c>
      <c r="H46" s="107" t="s">
        <v>288</v>
      </c>
    </row>
    <row r="47" spans="1:9">
      <c r="A47" t="s">
        <v>161</v>
      </c>
      <c r="B47" s="37">
        <f>IF(Inputs!C12,Inputs!C29,"")</f>
        <v>84.8</v>
      </c>
      <c r="C47" s="37">
        <f>IF(Inputs!D12,Inputs!D29,"")</f>
        <v>39.6</v>
      </c>
      <c r="D47" s="37">
        <f>IF(Inputs!E12,Inputs!E29,"")</f>
        <v>60.949999999999996</v>
      </c>
      <c r="E47" s="37">
        <f>IF(Inputs!F12,Inputs!F29,"")</f>
        <v>36</v>
      </c>
      <c r="F47" s="26"/>
      <c r="G47" s="46">
        <f>IF(Inputs!$J$12,SUMPRODUCT($B$36:$E$36,B47:E47),"")</f>
        <v>9540.25</v>
      </c>
      <c r="H47" s="46">
        <f>IF(Inputs!$J$12,G47/Inputs!$J$13,"")</f>
        <v>59.626562499999999</v>
      </c>
    </row>
    <row r="48" spans="1:9">
      <c r="A48" t="s">
        <v>162</v>
      </c>
      <c r="B48" s="37">
        <f>IF(Inputs!C12,Inputs!C38,"")</f>
        <v>109</v>
      </c>
      <c r="C48" s="37">
        <f>IF(Inputs!D12,Inputs!D38,"")</f>
        <v>0</v>
      </c>
      <c r="D48" s="37">
        <f>IF(Inputs!E12,Inputs!E38,"")</f>
        <v>65</v>
      </c>
      <c r="E48" s="37">
        <f>IF(Inputs!F12,Inputs!F38,"")</f>
        <v>0</v>
      </c>
      <c r="F48" s="26"/>
      <c r="G48" s="46">
        <f>IF(Inputs!$J$12,SUMPRODUCT($B$36:$E$36,B48:E48),"")</f>
        <v>8060</v>
      </c>
      <c r="H48" s="46">
        <f>IF(Inputs!$J$12,G48/Inputs!$J$13,"")</f>
        <v>50.375</v>
      </c>
    </row>
    <row r="49" spans="1:8">
      <c r="A49" t="s">
        <v>163</v>
      </c>
      <c r="B49" s="37">
        <f>IF(Inputs!C12,Inputs!C49,"")</f>
        <v>37</v>
      </c>
      <c r="C49" s="37">
        <f>IF(Inputs!D12,Inputs!D49,"")</f>
        <v>7.46</v>
      </c>
      <c r="D49" s="37">
        <f>IF(Inputs!E12,Inputs!E49,"")</f>
        <v>37</v>
      </c>
      <c r="E49" s="37">
        <f>IF(Inputs!F12,Inputs!F49,"")</f>
        <v>7.46</v>
      </c>
      <c r="F49" s="26"/>
      <c r="G49" s="46">
        <f>IF(Inputs!$J$12,SUMPRODUCT($B$36:$E$36,B49:E49),"")</f>
        <v>3556.8</v>
      </c>
      <c r="H49" s="46">
        <f>IF(Inputs!$J$12,G49/Inputs!$J$13,"")</f>
        <v>22.23</v>
      </c>
    </row>
    <row r="50" spans="1:8">
      <c r="A50" t="s">
        <v>164</v>
      </c>
      <c r="B50" s="37">
        <f>IF(Inputs!C12,Inputs!C57,"")</f>
        <v>0</v>
      </c>
      <c r="C50" s="37">
        <f>IF(Inputs!D12,Inputs!D57,"")</f>
        <v>3.75</v>
      </c>
      <c r="D50" s="37">
        <f>IF(Inputs!E12,Inputs!E57,"")</f>
        <v>0</v>
      </c>
      <c r="E50" s="37">
        <f>IF(Inputs!F12,Inputs!F57,"")</f>
        <v>3.75</v>
      </c>
      <c r="F50" s="26"/>
      <c r="G50" s="46">
        <f>IF(Inputs!$J$12,SUMPRODUCT($B$36:$E$36,B50:E50),"")</f>
        <v>300</v>
      </c>
      <c r="H50" s="46">
        <f>IF(Inputs!$J$12,G50/Inputs!$J$13,"")</f>
        <v>1.875</v>
      </c>
    </row>
    <row r="51" spans="1:8">
      <c r="A51" t="s">
        <v>165</v>
      </c>
      <c r="B51" s="37">
        <f>IF(Inputs!C12,Inputs!C64,"")</f>
        <v>30</v>
      </c>
      <c r="C51" s="37">
        <f>IF(Inputs!D12,Inputs!D64,"")</f>
        <v>19</v>
      </c>
      <c r="D51" s="37">
        <f>IF(Inputs!E12,Inputs!E64,"")</f>
        <v>19</v>
      </c>
      <c r="E51" s="37">
        <f>IF(Inputs!F12,Inputs!F64,"")</f>
        <v>14</v>
      </c>
      <c r="F51" s="26"/>
      <c r="G51" s="46">
        <f>IF(Inputs!$J$12,SUMPRODUCT($B$36:$E$36,B51:E51),"")</f>
        <v>3680</v>
      </c>
      <c r="H51" s="46">
        <f>IF(Inputs!$J$12,G51/Inputs!$J$13,"")</f>
        <v>23</v>
      </c>
    </row>
    <row r="52" spans="1:8">
      <c r="A52" t="s">
        <v>166</v>
      </c>
      <c r="B52" s="37">
        <f>IF(Inputs!C12,Inputs!C68,"")</f>
        <v>8.75</v>
      </c>
      <c r="C52" s="37">
        <f>IF(Inputs!D12,Inputs!D68,"")</f>
        <v>8</v>
      </c>
      <c r="D52" s="37">
        <f>IF(Inputs!E12,Inputs!E68,"")</f>
        <v>0</v>
      </c>
      <c r="E52" s="37">
        <f>IF(Inputs!F12,Inputs!F68,"")</f>
        <v>0</v>
      </c>
      <c r="F52" s="26"/>
      <c r="G52" s="46">
        <f>IF(Inputs!$J$12,SUMPRODUCT($B$36:$E$36,B52:E52),"")</f>
        <v>1088.75</v>
      </c>
      <c r="H52" s="46">
        <f>IF(Inputs!$J$12,G52/Inputs!$J$13,"")</f>
        <v>6.8046875</v>
      </c>
    </row>
    <row r="53" spans="1:8">
      <c r="A53" t="s">
        <v>167</v>
      </c>
      <c r="B53" s="37">
        <f>IF(Inputs!C12,Inputs!C85,"")</f>
        <v>38</v>
      </c>
      <c r="C53" s="37">
        <f>IF(Inputs!D12,Inputs!D85,"")</f>
        <v>33.799999999999997</v>
      </c>
      <c r="D53" s="37">
        <f>IF(Inputs!E12,Inputs!E85,"")</f>
        <v>38</v>
      </c>
      <c r="E53" s="37">
        <f>IF(Inputs!F12,Inputs!F85,"")</f>
        <v>33.799999999999997</v>
      </c>
      <c r="F53" s="26"/>
      <c r="G53" s="46">
        <f>IF(Inputs!$J$12,SUMPRODUCT($B$36:$E$36,B53:E53),"")</f>
        <v>5744</v>
      </c>
      <c r="H53" s="46">
        <f>IF(Inputs!$J$12,G53/Inputs!$J$13,"")</f>
        <v>35.9</v>
      </c>
    </row>
    <row r="54" spans="1:8">
      <c r="A54" t="s">
        <v>168</v>
      </c>
      <c r="B54" s="37">
        <f>IF(Inputs!C12,Inputs!C92,"")</f>
        <v>0</v>
      </c>
      <c r="C54" s="37">
        <f>IF(Inputs!D12,Inputs!D92,"")</f>
        <v>0</v>
      </c>
      <c r="D54" s="37">
        <f>IF(Inputs!E12,Inputs!E92,"")</f>
        <v>0</v>
      </c>
      <c r="E54" s="37">
        <f>IF(Inputs!F12,Inputs!F92,"")</f>
        <v>0</v>
      </c>
      <c r="F54" s="26"/>
      <c r="G54" s="46">
        <f>IF(Inputs!$J$12,SUMPRODUCT($B$36:$E$36,B54:E54),"")</f>
        <v>0</v>
      </c>
      <c r="H54" s="46">
        <f>IF(Inputs!$J$12,G54/Inputs!$J$13,"")</f>
        <v>0</v>
      </c>
    </row>
    <row r="55" spans="1:8">
      <c r="A55" t="s">
        <v>169</v>
      </c>
      <c r="B55" s="37">
        <f>IF(Inputs!C12,Inputs!C97,"")</f>
        <v>55.800000000000004</v>
      </c>
      <c r="C55" s="37">
        <f>IF(Inputs!D12,Inputs!D97,"")</f>
        <v>50.4</v>
      </c>
      <c r="D55" s="37">
        <f>IF(Inputs!E12,Inputs!E97,"")</f>
        <v>0</v>
      </c>
      <c r="E55" s="37">
        <f>IF(Inputs!F12,Inputs!F97,"")</f>
        <v>0</v>
      </c>
      <c r="F55" s="26"/>
      <c r="G55" s="46">
        <f>IF(Inputs!$J$12,SUMPRODUCT($B$36:$E$36,B55:E55),"")</f>
        <v>6903</v>
      </c>
      <c r="H55" s="46">
        <f>IF(Inputs!$J$12,G55/Inputs!$J$13,"")</f>
        <v>43.143749999999997</v>
      </c>
    </row>
    <row r="56" spans="1:8">
      <c r="A56" t="s">
        <v>304</v>
      </c>
      <c r="B56" s="37">
        <f>IF(Inputs!C12,Inputs!C104,"")</f>
        <v>36.25</v>
      </c>
      <c r="C56" s="37">
        <f>IF(Inputs!D12,Inputs!D104,"")</f>
        <v>36.25</v>
      </c>
      <c r="D56" s="37">
        <f>IF(Inputs!E12,Inputs!E104,"")</f>
        <v>25</v>
      </c>
      <c r="E56" s="37">
        <f>IF(Inputs!F12,Inputs!F104,"")</f>
        <v>25</v>
      </c>
      <c r="F56" s="26"/>
      <c r="G56" s="46">
        <f>IF(Inputs!$J$12,SUMPRODUCT($B$36:$E$36,B56:E56),"")</f>
        <v>5462.5</v>
      </c>
      <c r="H56" s="46">
        <f>IF(Inputs!$J$12,G56/Inputs!$J$13,"")</f>
        <v>34.140625</v>
      </c>
    </row>
    <row r="57" spans="1:8">
      <c r="A57" t="s">
        <v>170</v>
      </c>
      <c r="B57" s="37">
        <f>IF(Inputs!C12,Inputs!C111,"")</f>
        <v>44</v>
      </c>
      <c r="C57" s="37">
        <f>IF(Inputs!D12,Inputs!D111,"")</f>
        <v>10.199999999999999</v>
      </c>
      <c r="D57" s="37">
        <f>IF(Inputs!E12,Inputs!E111,"")</f>
        <v>28</v>
      </c>
      <c r="E57" s="37">
        <f>IF(Inputs!F12,Inputs!F111,"")</f>
        <v>7.6499999999999995</v>
      </c>
      <c r="F57" s="26"/>
      <c r="G57" s="46">
        <f>IF(Inputs!$J$12,SUMPRODUCT($B$36:$E$36,B57:E57),"")</f>
        <v>4057.75</v>
      </c>
      <c r="H57" s="46">
        <f>IF(Inputs!$J$12,G57/Inputs!$J$13,"")</f>
        <v>25.360937499999999</v>
      </c>
    </row>
    <row r="58" spans="1:8">
      <c r="A58" t="s">
        <v>204</v>
      </c>
      <c r="B58" s="37">
        <f>IF(Inputs!C12,Inputs!C115,"")</f>
        <v>300</v>
      </c>
      <c r="C58" s="37">
        <f>IF(Inputs!D12,Inputs!D115,"")</f>
        <v>300</v>
      </c>
      <c r="D58" s="37">
        <f>IF(Inputs!E12,Inputs!E115,"")</f>
        <v>200</v>
      </c>
      <c r="E58" s="37">
        <f>IF(Inputs!F12,Inputs!F115,"")</f>
        <v>200</v>
      </c>
      <c r="F58" s="26"/>
      <c r="G58" s="46">
        <f>IF(Inputs!$J$12,SUMPRODUCT($B$36:$E$36,B58:E58),"")</f>
        <v>45000</v>
      </c>
      <c r="H58" s="46">
        <f>IF(Inputs!$J$12,G58/Inputs!$J$13,"")</f>
        <v>281.25</v>
      </c>
    </row>
    <row r="59" spans="1:8">
      <c r="A59" t="s">
        <v>205</v>
      </c>
      <c r="B59" s="37">
        <f>IF(Inputs!C12,B127,"")</f>
        <v>17.808</v>
      </c>
      <c r="C59" s="37">
        <f>IF(Inputs!D12,C127,"")</f>
        <v>10.753799999999998</v>
      </c>
      <c r="D59" s="37">
        <f>IF(Inputs!E12,D127,"")</f>
        <v>11.188499999999999</v>
      </c>
      <c r="E59" s="37">
        <f>IF(Inputs!F12,E127,"")</f>
        <v>6.8297999999999996</v>
      </c>
      <c r="F59" s="26"/>
      <c r="G59" s="46">
        <f>IF(Inputs!$J$12,SUMPRODUCT($B$36:$E$36,B59:E59),"")</f>
        <v>2126.7914999999998</v>
      </c>
      <c r="H59" s="46">
        <f>IF(Inputs!$J$12,G59/Inputs!$J$13,"")</f>
        <v>13.292446875</v>
      </c>
    </row>
    <row r="60" spans="1:8">
      <c r="A60" s="11" t="s">
        <v>206</v>
      </c>
      <c r="B60" s="44">
        <f>IF(Inputs!C12,SUM(B47:B59),"")</f>
        <v>761.40800000000002</v>
      </c>
      <c r="C60" s="44">
        <f>IF(Inputs!D12,SUM(C47:C59),"")</f>
        <v>519.21379999999999</v>
      </c>
      <c r="D60" s="44">
        <f>IF(Inputs!E12,SUM(D47:D59),"")</f>
        <v>484.13849999999996</v>
      </c>
      <c r="E60" s="44">
        <f>IF(Inputs!F12,SUM(E47:E59),"")</f>
        <v>334.48979999999995</v>
      </c>
      <c r="F60" s="44"/>
      <c r="G60" s="44">
        <f>IF(Inputs!$J$12,SUMPRODUCT($B$36:$E$36,B60:E60),"")</f>
        <v>95519.841499999995</v>
      </c>
      <c r="H60" s="44">
        <f>IF(Inputs!$J$12,G60/Inputs!$J$13,"")</f>
        <v>596.99900937500001</v>
      </c>
    </row>
    <row r="61" spans="1:8">
      <c r="A61" s="11"/>
      <c r="B61" s="44"/>
      <c r="C61" s="44"/>
      <c r="D61" s="44"/>
      <c r="E61" s="44"/>
      <c r="F61" s="44"/>
      <c r="G61" s="44"/>
      <c r="H61" s="44"/>
    </row>
    <row r="62" spans="1:8" ht="13.5" thickBot="1">
      <c r="A62" s="108" t="s">
        <v>207</v>
      </c>
      <c r="B62" s="107" t="str">
        <f>IF(Inputs!$C$12,Inputs!$C$11,"")</f>
        <v>Irr Corn</v>
      </c>
      <c r="C62" s="107" t="str">
        <f>IF(Inputs!$D$12,Inputs!$D$11,"")</f>
        <v>Irr Soybeans</v>
      </c>
      <c r="D62" s="107" t="str">
        <f>IF(Inputs!$E$12,Inputs!$E$11,"")</f>
        <v>Dry Corn</v>
      </c>
      <c r="E62" s="107" t="str">
        <f>IF(Inputs!$F$12,Inputs!$F$11,"")</f>
        <v>Dry Soybeans</v>
      </c>
      <c r="F62" s="109"/>
      <c r="G62" s="107" t="s">
        <v>23</v>
      </c>
      <c r="H62" s="107" t="s">
        <v>288</v>
      </c>
    </row>
    <row r="63" spans="1:8">
      <c r="A63" t="s">
        <v>167</v>
      </c>
      <c r="B63" s="37">
        <f>IF(Inputs!C12,Inputs!C146,"")</f>
        <v>39.75</v>
      </c>
      <c r="C63" s="37">
        <f>IF(Inputs!D12,Inputs!D146,"")</f>
        <v>33.25</v>
      </c>
      <c r="D63" s="37">
        <f>IF(Inputs!E12,Inputs!E146,"")</f>
        <v>39.75</v>
      </c>
      <c r="E63" s="37">
        <f>IF(Inputs!F12,Inputs!F146,"")</f>
        <v>33.25</v>
      </c>
      <c r="F63" s="26"/>
      <c r="G63" s="46">
        <f>IF(Inputs!$J$12,SUMPRODUCT($B$36:$E$36,B63:E63),"")</f>
        <v>5840</v>
      </c>
      <c r="H63" s="46">
        <f>IF(Inputs!$J$12,G63/Inputs!$J$13,"")</f>
        <v>36.5</v>
      </c>
    </row>
    <row r="64" spans="1:8">
      <c r="A64" t="s">
        <v>169</v>
      </c>
      <c r="B64" s="37">
        <f>IF(Inputs!C12,Inputs!C263,"")</f>
        <v>0</v>
      </c>
      <c r="C64" s="37">
        <f>IF(Inputs!D12,Inputs!D263,"")</f>
        <v>0</v>
      </c>
      <c r="D64" s="37">
        <f>IF(Inputs!E12,Inputs!E263,"")</f>
        <v>0</v>
      </c>
      <c r="E64" s="37">
        <f>IF(Inputs!F12,Inputs!F263,"")</f>
        <v>0</v>
      </c>
      <c r="F64" s="26"/>
      <c r="G64" s="46">
        <f>IF(Inputs!$J$12,SUMPRODUCT($B$36:$E$36,B64:E64),"")</f>
        <v>0</v>
      </c>
      <c r="H64" s="46">
        <f>IF(Inputs!$J$12,G64/Inputs!$J$13,"")</f>
        <v>0</v>
      </c>
    </row>
    <row r="65" spans="1:8">
      <c r="A65" s="11" t="s">
        <v>195</v>
      </c>
      <c r="B65" s="44">
        <f>IF(Inputs!C12,SUM(B63:B64),"")</f>
        <v>39.75</v>
      </c>
      <c r="C65" s="44">
        <f>IF(Inputs!D12,SUM(C63:C64),"")</f>
        <v>33.25</v>
      </c>
      <c r="D65" s="44">
        <f>IF(Inputs!E12,SUM(D63:D64),"")</f>
        <v>39.75</v>
      </c>
      <c r="E65" s="44">
        <f>IF(Inputs!F12,SUM(E63:E64),"")</f>
        <v>33.25</v>
      </c>
      <c r="F65" s="44"/>
      <c r="G65" s="44">
        <f>IF(Inputs!$J$12,SUMPRODUCT($B$36:$E$36,B65:E65),"")</f>
        <v>5840</v>
      </c>
      <c r="H65" s="44">
        <f>IF(Inputs!$J$12,G65/Inputs!$J$13,"")</f>
        <v>36.5</v>
      </c>
    </row>
    <row r="66" spans="1:8">
      <c r="A66" s="11"/>
      <c r="B66" s="44"/>
      <c r="C66" s="44"/>
      <c r="D66" s="44"/>
      <c r="E66" s="44"/>
      <c r="F66" s="44"/>
      <c r="G66" s="44"/>
      <c r="H66" s="44"/>
    </row>
    <row r="67" spans="1:8" ht="13.5" thickBot="1">
      <c r="A67" s="108" t="s">
        <v>208</v>
      </c>
      <c r="B67" s="107" t="str">
        <f>IF(Inputs!$C$12,Inputs!$C$11,"")</f>
        <v>Irr Corn</v>
      </c>
      <c r="C67" s="107" t="str">
        <f>IF(Inputs!$D$12,Inputs!$D$11,"")</f>
        <v>Irr Soybeans</v>
      </c>
      <c r="D67" s="107" t="str">
        <f>IF(Inputs!$E$12,Inputs!$E$11,"")</f>
        <v>Dry Corn</v>
      </c>
      <c r="E67" s="107" t="str">
        <f>IF(Inputs!$F$12,Inputs!$F$11,"")</f>
        <v>Dry Soybeans</v>
      </c>
      <c r="F67" s="109"/>
      <c r="G67" s="107" t="s">
        <v>23</v>
      </c>
      <c r="H67" s="107" t="s">
        <v>288</v>
      </c>
    </row>
    <row r="68" spans="1:8">
      <c r="A68" s="39" t="s">
        <v>289</v>
      </c>
      <c r="B68" s="111">
        <f>IF(Inputs!C12,B60+B65,"")</f>
        <v>801.15800000000002</v>
      </c>
      <c r="C68" s="111">
        <f>IF(Inputs!D12,C60+C65,"")</f>
        <v>552.46379999999999</v>
      </c>
      <c r="D68" s="111">
        <f>IF(Inputs!E12,D60+D65,"")</f>
        <v>523.88850000000002</v>
      </c>
      <c r="E68" s="111">
        <f>IF(Inputs!F12,E60+E65,"")</f>
        <v>367.73979999999995</v>
      </c>
      <c r="F68" s="111"/>
      <c r="G68" s="111">
        <f>IF(Inputs!J12,G60+G65,"")</f>
        <v>101359.84149999999</v>
      </c>
      <c r="H68" s="46">
        <f>IF(Inputs!$J$12,G68/Inputs!$J$13,"")</f>
        <v>633.49900937500001</v>
      </c>
    </row>
    <row r="69" spans="1:8">
      <c r="A69" s="39" t="s">
        <v>291</v>
      </c>
      <c r="B69" s="111">
        <f>IF(Inputs!C12,B44-B60,"")</f>
        <v>468.59199999999998</v>
      </c>
      <c r="C69" s="111">
        <f>IF(Inputs!D12,C44-C60,"")</f>
        <v>190.78620000000001</v>
      </c>
      <c r="D69" s="111">
        <f>IF(Inputs!E12,D44-D60,"")</f>
        <v>297.86150000000004</v>
      </c>
      <c r="E69" s="111">
        <f>IF(Inputs!F12,E44-E60,"")</f>
        <v>195.01020000000005</v>
      </c>
      <c r="F69" s="111"/>
      <c r="G69" s="111">
        <f>IF(Inputs!J12,G44-G60,"")</f>
        <v>50252.658500000005</v>
      </c>
      <c r="H69" s="46">
        <f>IF(Inputs!$J$12,G69/Inputs!$J$13,"")</f>
        <v>314.07911562500004</v>
      </c>
    </row>
    <row r="70" spans="1:8">
      <c r="A70" s="42" t="s">
        <v>197</v>
      </c>
      <c r="B70" s="41">
        <f>IF(Inputs!C12,B44-B60-B65,"")</f>
        <v>428.84199999999998</v>
      </c>
      <c r="C70" s="41">
        <f>IF(Inputs!D12,C44-C60-C65,"")</f>
        <v>157.53620000000001</v>
      </c>
      <c r="D70" s="41">
        <f>IF(Inputs!E12,D44-D60-D65,"")</f>
        <v>258.11150000000004</v>
      </c>
      <c r="E70" s="41">
        <f>IF(Inputs!F12,E44-E60-E65,"")</f>
        <v>161.76020000000005</v>
      </c>
      <c r="F70" s="41"/>
      <c r="G70" s="41">
        <f>IF(Inputs!J12,G44-G60-G65,"")</f>
        <v>44412.658500000005</v>
      </c>
      <c r="H70" s="44">
        <f>IF(Inputs!$J$12,G70/Inputs!$J$13,"")</f>
        <v>277.57911562500004</v>
      </c>
    </row>
    <row r="71" spans="1:8">
      <c r="A71" s="11"/>
      <c r="B71" s="26"/>
      <c r="C71" s="26"/>
      <c r="D71" s="26"/>
      <c r="F71" s="26"/>
      <c r="G71" s="26"/>
    </row>
    <row r="72" spans="1:8" ht="13.5" thickBot="1">
      <c r="A72" s="108" t="s">
        <v>209</v>
      </c>
      <c r="B72" s="107" t="str">
        <f>IF(Inputs!$C$12,Inputs!$C$11,"")</f>
        <v>Irr Corn</v>
      </c>
      <c r="C72" s="107" t="str">
        <f>IF(Inputs!$D$12,Inputs!$D$11,"")</f>
        <v>Irr Soybeans</v>
      </c>
      <c r="D72" s="107" t="str">
        <f>IF(Inputs!$E$12,Inputs!$E$11,"")</f>
        <v>Dry Corn</v>
      </c>
      <c r="E72" s="107" t="str">
        <f>IF(Inputs!$F$12,Inputs!$F$11,"")</f>
        <v>Dry Soybeans</v>
      </c>
      <c r="F72" s="109"/>
      <c r="G72" s="107" t="s">
        <v>23</v>
      </c>
      <c r="H72" s="107" t="s">
        <v>288</v>
      </c>
    </row>
    <row r="73" spans="1:8">
      <c r="A73" s="45" t="s">
        <v>292</v>
      </c>
      <c r="B73" s="99">
        <f>IF(Inputs!C12,B136,"")</f>
        <v>761.49562000000003</v>
      </c>
      <c r="C73" s="99">
        <f>IF(Inputs!D12,C136,"")</f>
        <v>487.85690699999998</v>
      </c>
      <c r="D73" s="99">
        <f>IF(Inputs!E12,D136,"")</f>
        <v>493.34857750000003</v>
      </c>
      <c r="E73" s="99">
        <f>IF(Inputs!F12,E136,"")</f>
        <v>392.04004700000007</v>
      </c>
      <c r="F73" s="26"/>
      <c r="G73" s="112">
        <f>IF(Inputs!J12,G136,"")</f>
        <v>94488.743622500013</v>
      </c>
      <c r="H73" s="46">
        <f>IF(Inputs!$J$12,G73/Inputs!$J$13,"")</f>
        <v>590.55464764062503</v>
      </c>
    </row>
    <row r="74" spans="1:8">
      <c r="A74" s="45" t="s">
        <v>293</v>
      </c>
      <c r="B74" s="99">
        <f>IF(Inputs!C12,B140,"")</f>
        <v>722.34186999999997</v>
      </c>
      <c r="C74" s="99">
        <f>IF(Inputs!D12,C140,"")</f>
        <v>455.10565699999995</v>
      </c>
      <c r="D74" s="99">
        <f>IF(Inputs!E12,D140,"")</f>
        <v>454.19482750000003</v>
      </c>
      <c r="E74" s="99">
        <f>IF(Inputs!F12,E140,"")</f>
        <v>359.28879700000005</v>
      </c>
      <c r="F74" s="26"/>
      <c r="G74" s="112">
        <f>IF(Inputs!J12,G140,"")</f>
        <v>88736.343622500004</v>
      </c>
      <c r="H74" s="46">
        <f>IF(Inputs!$J$12,G74/Inputs!$J$13,"")</f>
        <v>554.60214764062505</v>
      </c>
    </row>
    <row r="75" spans="1:8">
      <c r="A75" s="67"/>
      <c r="B75" s="99"/>
      <c r="C75" s="99"/>
      <c r="D75" s="99"/>
      <c r="E75" s="99"/>
      <c r="F75" s="26"/>
      <c r="G75" s="36"/>
      <c r="H75" s="26"/>
    </row>
    <row r="76" spans="1:8">
      <c r="A76" s="45" t="s">
        <v>294</v>
      </c>
      <c r="B76" s="113">
        <f>IF(Inputs!C12,(B60-SUM(B42:B43))/B40,"")</f>
        <v>134.80145454545456</v>
      </c>
      <c r="C76" s="113">
        <f>IF(Inputs!D12,(C60-SUM(C42:C43))/C40,"")</f>
        <v>43.409895652173915</v>
      </c>
      <c r="D76" s="113">
        <f>IF(Inputs!E12,(D60-SUM(D42:D43))/D40,"")</f>
        <v>85.843363636363634</v>
      </c>
      <c r="E76" s="113">
        <f>IF(Inputs!F12,(E60-SUM(E42:E43))/E40,"")</f>
        <v>28.04259130434782</v>
      </c>
      <c r="F76" s="26"/>
      <c r="G76" s="96" t="s">
        <v>28</v>
      </c>
      <c r="H76" s="96" t="s">
        <v>28</v>
      </c>
    </row>
    <row r="77" spans="1:8">
      <c r="A77" s="45" t="s">
        <v>295</v>
      </c>
      <c r="B77" s="113">
        <f>IF(Inputs!C12,(B68-SUM(B42:B43))/B40,"")</f>
        <v>142.02872727272728</v>
      </c>
      <c r="C77" s="113">
        <f>IF(Inputs!D12,(C68-SUM(C42:C43))/C40,"")</f>
        <v>46.301200000000001</v>
      </c>
      <c r="D77" s="113">
        <f>IF(Inputs!E12,(D68-SUM(D42:D43))/D40,"")</f>
        <v>93.070636363636368</v>
      </c>
      <c r="E77" s="113">
        <f>IF(Inputs!F12,(E68-SUM(E42:E43))/E40,"")</f>
        <v>30.933895652173909</v>
      </c>
      <c r="F77" s="26"/>
      <c r="G77" s="96" t="s">
        <v>28</v>
      </c>
      <c r="H77" s="96" t="s">
        <v>28</v>
      </c>
    </row>
    <row r="78" spans="1:8">
      <c r="A78" s="45"/>
      <c r="B78" s="37"/>
      <c r="C78" s="37"/>
      <c r="D78" s="37"/>
      <c r="E78" s="37"/>
      <c r="F78" s="26"/>
      <c r="G78" s="36"/>
      <c r="H78" s="26"/>
    </row>
    <row r="79" spans="1:8">
      <c r="A79" s="45" t="s">
        <v>296</v>
      </c>
      <c r="B79" s="37">
        <f>IF(Inputs!C12,(B60-SUM(B42:B43))/B39,"")</f>
        <v>3.3700363636363635</v>
      </c>
      <c r="C79" s="37">
        <f>IF(Inputs!D12,(C60-SUM(C42:C43))/C39,"")</f>
        <v>8.3202300000000005</v>
      </c>
      <c r="D79" s="37">
        <f>IF(Inputs!E12,(D60-SUM(D42:D43))/D39,"")</f>
        <v>3.3724178571428567</v>
      </c>
      <c r="E79" s="37">
        <f>IF(Inputs!F12,(E60-SUM(E42:E43))/E39,"")</f>
        <v>7.1664399999999988</v>
      </c>
      <c r="F79" s="26"/>
      <c r="G79" s="96" t="s">
        <v>28</v>
      </c>
      <c r="H79" s="96" t="s">
        <v>28</v>
      </c>
    </row>
    <row r="80" spans="1:8">
      <c r="A80" s="45" t="s">
        <v>297</v>
      </c>
      <c r="B80" s="37">
        <f>IF(Inputs!C12,(B68-SUM(B42:B43))/B39,"")</f>
        <v>3.5507181818181821</v>
      </c>
      <c r="C80" s="37">
        <f>IF(Inputs!D12,(C68-SUM(C42:C43))/C39,"")</f>
        <v>8.8743966666666658</v>
      </c>
      <c r="D80" s="37">
        <f>IF(Inputs!E12,(D68-SUM(D42:D43))/D39,"")</f>
        <v>3.6563464285714287</v>
      </c>
      <c r="E80" s="37">
        <f>IF(Inputs!F12,(E68-SUM(E42:E43))/E39,"")</f>
        <v>7.9053288888888877</v>
      </c>
      <c r="F80" s="26"/>
      <c r="G80" s="96" t="s">
        <v>28</v>
      </c>
      <c r="H80" s="96" t="s">
        <v>28</v>
      </c>
    </row>
    <row r="121" spans="1:7">
      <c r="A121" s="11" t="s">
        <v>173</v>
      </c>
    </row>
    <row r="122" spans="1:7">
      <c r="A122" s="11"/>
    </row>
    <row r="123" spans="1:7">
      <c r="A123" s="11" t="s">
        <v>154</v>
      </c>
    </row>
    <row r="124" spans="1:7" ht="5.25" customHeight="1"/>
    <row r="125" spans="1:7">
      <c r="A125" s="11" t="s">
        <v>210</v>
      </c>
      <c r="B125" s="31" t="str">
        <f>Inputs!$C$11</f>
        <v>Irr Corn</v>
      </c>
      <c r="C125" s="31" t="str">
        <f>Inputs!$D$11</f>
        <v>Irr Soybeans</v>
      </c>
      <c r="D125" s="31" t="str">
        <f>Inputs!$E$11</f>
        <v>Dry Corn</v>
      </c>
      <c r="E125" s="31" t="str">
        <f>Inputs!$F$11</f>
        <v>Dry Soybeans</v>
      </c>
      <c r="G125" s="35" t="s">
        <v>23</v>
      </c>
    </row>
    <row r="126" spans="1:7">
      <c r="A126" t="s">
        <v>211</v>
      </c>
      <c r="B126" s="77">
        <f>Inputs!C29+Inputs!C38+Inputs!C49+Inputs!C57+Inputs!C64+Inputs!C68+Inputs!C85+Inputs!C92+Inputs!C97+Inputs!C104+Inputs!C111+(Inputs!C115*Inputs!$C$170)</f>
        <v>593.6</v>
      </c>
      <c r="C126" s="77">
        <f>Inputs!D29+Inputs!D38+Inputs!D49+Inputs!D57+Inputs!D64+Inputs!D68+Inputs!D85+Inputs!D92+Inputs!D97+Inputs!D104+Inputs!D111+(Inputs!D115*Inputs!$C$170)</f>
        <v>358.46</v>
      </c>
      <c r="D126" s="77">
        <f>Inputs!E29+Inputs!E38+Inputs!E49+Inputs!E57+Inputs!E64+Inputs!E68+Inputs!E85+Inputs!E92+Inputs!E97+Inputs!E104+Inputs!E111+(Inputs!E115*Inputs!$C$170)</f>
        <v>372.95</v>
      </c>
      <c r="E126" s="77">
        <f>Inputs!F29+Inputs!F38+Inputs!F49+Inputs!F57+Inputs!F64+Inputs!F68+Inputs!F85+Inputs!F92+Inputs!F97+Inputs!F104+Inputs!F111+(Inputs!F115*Inputs!$C$170)</f>
        <v>227.66</v>
      </c>
      <c r="G126" s="46">
        <f>SUMPRODUCT($B$36:$E$36,B126:E126)</f>
        <v>70893.049999999988</v>
      </c>
    </row>
    <row r="127" spans="1:7">
      <c r="A127" t="s">
        <v>212</v>
      </c>
      <c r="B127" s="37">
        <f>B126*Inputs!$C$174*(Inputs!$C$175/12)</f>
        <v>17.808</v>
      </c>
      <c r="C127" s="37">
        <f>C126*Inputs!$C$174*(Inputs!$C$175/12)</f>
        <v>10.753799999999998</v>
      </c>
      <c r="D127" s="37">
        <f>D126*Inputs!$C$174*(Inputs!$C$175/12)</f>
        <v>11.188499999999999</v>
      </c>
      <c r="E127" s="37">
        <f>E126*Inputs!$C$174*(Inputs!$C$175/12)</f>
        <v>6.8297999999999996</v>
      </c>
      <c r="G127" s="46">
        <f>SUMPRODUCT($B$36:$E$36,B127:E127)</f>
        <v>2126.7914999999998</v>
      </c>
    </row>
    <row r="130" spans="1:8">
      <c r="A130" s="11" t="s">
        <v>213</v>
      </c>
    </row>
    <row r="131" spans="1:8">
      <c r="A131" t="s">
        <v>214</v>
      </c>
      <c r="B131" s="37">
        <f>Inputs!C29+Inputs!C49+Inputs!C57+Inputs!C38+Inputs!C68+Inputs!C64+Inputs!C111+Inputs!C85+Inputs!C97+Inputs!C92+Inputs!C104</f>
        <v>443.6</v>
      </c>
      <c r="C131" s="37">
        <f>Inputs!D29+Inputs!D49+Inputs!D57+Inputs!D38+Inputs!D68+Inputs!D64+Inputs!D111+Inputs!D85+Inputs!D97+Inputs!D92+Inputs!D104</f>
        <v>208.46</v>
      </c>
      <c r="D131" s="37">
        <f>Inputs!E29+Inputs!E49+Inputs!E57+Inputs!E38+Inputs!E68+Inputs!E64+Inputs!E111+Inputs!E85+Inputs!E97+Inputs!E92+Inputs!E104</f>
        <v>272.95</v>
      </c>
      <c r="E131" s="37">
        <f>Inputs!F29+Inputs!F49+Inputs!F57+Inputs!F38+Inputs!F68+Inputs!F64+Inputs!F111+Inputs!F85+Inputs!F97+Inputs!F92+Inputs!F104</f>
        <v>127.66</v>
      </c>
      <c r="F131" s="26"/>
      <c r="G131" s="46">
        <f>SUMPRODUCT($B$36:$E$36,B131:E131)</f>
        <v>48393.05</v>
      </c>
    </row>
    <row r="132" spans="1:8">
      <c r="A132" t="s">
        <v>215</v>
      </c>
      <c r="B132" s="37">
        <f>B131*Inputs!$C$174*(Inputs!$C$175/12)</f>
        <v>13.308</v>
      </c>
      <c r="C132" s="37">
        <f>C131*Inputs!$C$174*(Inputs!$C$175/12)</f>
        <v>6.2538</v>
      </c>
      <c r="D132" s="37">
        <f>D131*Inputs!$C$174*(Inputs!$C$175/12)</f>
        <v>8.1884999999999994</v>
      </c>
      <c r="E132" s="37">
        <f>E131*Inputs!$C$174*(Inputs!$C$175/12)</f>
        <v>3.8297999999999996</v>
      </c>
      <c r="F132" s="26"/>
      <c r="G132" s="46">
        <f t="shared" ref="G132:G140" si="0">SUMPRODUCT($B$36:$E$36,B132:E132)</f>
        <v>1451.7915</v>
      </c>
    </row>
    <row r="133" spans="1:8">
      <c r="A133" s="67" t="s">
        <v>216</v>
      </c>
    </row>
    <row r="134" spans="1:8">
      <c r="A134" t="s">
        <v>217</v>
      </c>
      <c r="B134" s="37">
        <f>IF(Inputs!C12,B44-B131-B132,"")</f>
        <v>773.09199999999998</v>
      </c>
      <c r="C134" s="37">
        <f>IF(Inputs!D12,C44-C131-C132,"")</f>
        <v>495.28619999999995</v>
      </c>
      <c r="D134" s="37">
        <f>IF(Inputs!E12,D44-D131-D132,"")</f>
        <v>500.86150000000004</v>
      </c>
      <c r="E134" s="37">
        <f>IF(Inputs!F12,E44-E131-E132,"")</f>
        <v>398.01020000000005</v>
      </c>
      <c r="F134" s="37"/>
      <c r="G134" s="46">
        <f t="shared" si="0"/>
        <v>95927.65849999999</v>
      </c>
    </row>
    <row r="135" spans="1:8">
      <c r="A135" t="s">
        <v>218</v>
      </c>
      <c r="B135" s="37">
        <f>IF(Inputs!C12,(B134*Inputs!$C$170)*Inputs!$C$174*(Inputs!$C$175/12),"")</f>
        <v>11.59638</v>
      </c>
      <c r="C135" s="37">
        <f>IF(Inputs!D12,(C134*Inputs!$C$170)*Inputs!$C$174*(Inputs!$C$175/12),"")</f>
        <v>7.4292929999999986</v>
      </c>
      <c r="D135" s="37">
        <f>IF(Inputs!E12,(D134*Inputs!$C$170)*Inputs!$C$174*(Inputs!$C$175/12),"")</f>
        <v>7.5129225000000002</v>
      </c>
      <c r="E135" s="37">
        <f>IF(Inputs!F12,(E134*Inputs!$C$170)*Inputs!$C$174*(Inputs!$C$175/12),"")</f>
        <v>5.9701530000000007</v>
      </c>
      <c r="F135" s="26"/>
      <c r="G135" s="46">
        <f t="shared" si="0"/>
        <v>1438.9148774999999</v>
      </c>
    </row>
    <row r="136" spans="1:8">
      <c r="A136" t="s">
        <v>219</v>
      </c>
      <c r="B136" s="37">
        <f>IF(Inputs!C12,B134-B135,"")</f>
        <v>761.49562000000003</v>
      </c>
      <c r="C136" s="37">
        <f>IF(Inputs!D12,C134-C135,"")</f>
        <v>487.85690699999998</v>
      </c>
      <c r="D136" s="37">
        <f>IF(Inputs!E12,D134-D135,"")</f>
        <v>493.34857750000003</v>
      </c>
      <c r="E136" s="37">
        <f>IF(Inputs!F12,E134-E135,"")</f>
        <v>392.04004700000007</v>
      </c>
      <c r="F136" s="26"/>
      <c r="G136" s="46">
        <f t="shared" si="0"/>
        <v>94488.743622500013</v>
      </c>
      <c r="H136" s="82"/>
    </row>
    <row r="137" spans="1:8">
      <c r="A137" s="67" t="s">
        <v>149</v>
      </c>
      <c r="B137" s="37"/>
      <c r="C137" s="37"/>
      <c r="D137" s="37"/>
      <c r="E137" s="37"/>
      <c r="F137" s="26"/>
      <c r="G137" s="46"/>
    </row>
    <row r="138" spans="1:8">
      <c r="A138" t="s">
        <v>220</v>
      </c>
      <c r="B138" s="37">
        <f>IF(Inputs!C12,B44-B65-B131-B132,"0")</f>
        <v>733.34199999999998</v>
      </c>
      <c r="C138" s="37">
        <f>IF(Inputs!D12,C44-C65-C131-C132,"0")</f>
        <v>462.03619999999995</v>
      </c>
      <c r="D138" s="37">
        <f>IF(Inputs!E12,D44-D65-D131-D132,"0")</f>
        <v>461.11150000000004</v>
      </c>
      <c r="E138" s="37">
        <f>IF(Inputs!F12,E44-E65-E131-E132,"0")</f>
        <v>364.76020000000005</v>
      </c>
      <c r="F138" s="26"/>
      <c r="G138" s="46">
        <f t="shared" si="0"/>
        <v>90087.65849999999</v>
      </c>
    </row>
    <row r="139" spans="1:8">
      <c r="A139" t="s">
        <v>221</v>
      </c>
      <c r="B139" s="37">
        <f>(B138*Inputs!$C$170)*Inputs!$C$174*(Inputs!$C$175/12)</f>
        <v>11.000129999999999</v>
      </c>
      <c r="C139" s="37">
        <f>(C138*Inputs!$C$170)*Inputs!$C$174*(Inputs!$C$175/12)</f>
        <v>6.9305429999999992</v>
      </c>
      <c r="D139" s="37">
        <f>(D138*Inputs!$C$170)*Inputs!$C$174*(Inputs!$C$175/12)</f>
        <v>6.9166725000000007</v>
      </c>
      <c r="E139" s="37">
        <f>(E138*Inputs!$C$170)*Inputs!$C$174*(Inputs!$C$175/12)</f>
        <v>5.4714030000000005</v>
      </c>
      <c r="F139" s="26"/>
      <c r="G139" s="46">
        <f t="shared" si="0"/>
        <v>1351.3148774999997</v>
      </c>
    </row>
    <row r="140" spans="1:8">
      <c r="A140" t="s">
        <v>222</v>
      </c>
      <c r="B140" s="37">
        <f>B138-B139</f>
        <v>722.34186999999997</v>
      </c>
      <c r="C140" s="37">
        <f>C138-C139</f>
        <v>455.10565699999995</v>
      </c>
      <c r="D140" s="37">
        <f>D138-D139</f>
        <v>454.19482750000003</v>
      </c>
      <c r="E140" s="37">
        <f>E138-E139</f>
        <v>359.28879700000005</v>
      </c>
      <c r="F140" s="26"/>
      <c r="G140" s="46">
        <f t="shared" si="0"/>
        <v>88736.343622500004</v>
      </c>
    </row>
    <row r="141" spans="1:8">
      <c r="G141" s="46"/>
    </row>
    <row r="142" spans="1:8">
      <c r="G142" s="46"/>
    </row>
    <row r="144" spans="1:8">
      <c r="B144" s="82"/>
    </row>
  </sheetData>
  <sheetProtection password="C1B5" sheet="1" objects="1" scenarios="1"/>
  <mergeCells count="2">
    <mergeCell ref="A1:H1"/>
    <mergeCell ref="A30:H30"/>
  </mergeCells>
  <phoneticPr fontId="0" type="noConversion"/>
  <pageMargins left="0.75" right="0.75" top="0.55000000000000004" bottom="0.55000000000000004" header="0.5" footer="0.5"/>
  <pageSetup scale="98" orientation="landscape" horizontalDpi="300" verticalDpi="300" r:id="rId1"/>
  <headerFooter alignWithMargins="0"/>
  <rowBreaks count="2" manualBreakCount="2">
    <brk id="29" max="8" man="1"/>
    <brk id="70" max="8" man="1"/>
  </rowBreaks>
  <legacyDrawing r:id="rId2"/>
</worksheet>
</file>

<file path=xl/worksheets/sheet5.xml><?xml version="1.0" encoding="utf-8"?>
<worksheet xmlns="http://schemas.openxmlformats.org/spreadsheetml/2006/main" xmlns:r="http://schemas.openxmlformats.org/officeDocument/2006/relationships">
  <sheetPr codeName="Sheet8"/>
  <dimension ref="A1:L149"/>
  <sheetViews>
    <sheetView topLeftCell="A31" zoomScaleNormal="100" workbookViewId="0">
      <selection activeCell="A2" sqref="A2"/>
    </sheetView>
  </sheetViews>
  <sheetFormatPr defaultRowHeight="12.75"/>
  <cols>
    <col min="1" max="1" width="3.140625" customWidth="1"/>
    <col min="2" max="2" width="7.140625" customWidth="1"/>
    <col min="3" max="4" width="10.85546875" bestFit="1" customWidth="1"/>
    <col min="5" max="9" width="10.7109375" customWidth="1"/>
    <col min="10" max="10" width="4.140625" customWidth="1"/>
    <col min="12" max="12" width="10.7109375" bestFit="1" customWidth="1"/>
  </cols>
  <sheetData>
    <row r="1" spans="1:12" ht="18.75" thickBot="1">
      <c r="A1" s="29" t="s">
        <v>223</v>
      </c>
      <c r="B1" s="104"/>
      <c r="C1" s="104"/>
      <c r="D1" s="115"/>
      <c r="E1" s="104"/>
      <c r="F1" s="104"/>
      <c r="G1" s="104"/>
      <c r="H1" s="104"/>
      <c r="I1" s="116"/>
      <c r="J1" s="104"/>
      <c r="K1" s="117"/>
      <c r="L1" s="117"/>
    </row>
    <row r="3" spans="1:12" ht="15">
      <c r="A3" s="105" t="str">
        <f>Inputs!H4</f>
        <v>Average Joe Tenant</v>
      </c>
    </row>
    <row r="4" spans="1:12" ht="15">
      <c r="A4" s="105" t="str">
        <f>Inputs!B9</f>
        <v>Pivot Irrigated Quarter Section with Dryland Corners</v>
      </c>
    </row>
    <row r="6" spans="1:12" ht="15">
      <c r="A6" s="118" t="s">
        <v>224</v>
      </c>
      <c r="B6" s="18"/>
      <c r="C6" s="18"/>
      <c r="D6" s="18"/>
      <c r="E6" s="18"/>
      <c r="F6" s="18"/>
      <c r="G6" s="18"/>
      <c r="H6" s="18"/>
      <c r="I6" s="18"/>
      <c r="J6" s="18"/>
    </row>
    <row r="7" spans="1:12" ht="15">
      <c r="A7" s="118" t="s">
        <v>225</v>
      </c>
      <c r="B7" s="18"/>
      <c r="C7" s="18"/>
      <c r="D7" s="18"/>
      <c r="E7" s="18"/>
      <c r="F7" s="18"/>
      <c r="G7" s="18"/>
      <c r="H7" s="18"/>
      <c r="I7" s="18"/>
      <c r="J7" s="18"/>
    </row>
    <row r="8" spans="1:12" ht="13.5" thickBot="1">
      <c r="B8" s="119"/>
      <c r="C8" s="119"/>
      <c r="D8" s="120"/>
      <c r="E8" s="119"/>
      <c r="F8" s="119"/>
      <c r="G8" s="119"/>
      <c r="H8" s="119"/>
      <c r="I8" s="119"/>
      <c r="J8" s="18"/>
    </row>
    <row r="9" spans="1:12">
      <c r="B9" s="121"/>
      <c r="C9" s="122"/>
      <c r="D9" s="274" t="s">
        <v>226</v>
      </c>
      <c r="E9" s="276" t="s">
        <v>227</v>
      </c>
      <c r="F9" s="276"/>
      <c r="G9" s="123" t="s">
        <v>228</v>
      </c>
      <c r="H9" s="276" t="s">
        <v>229</v>
      </c>
      <c r="I9" s="289"/>
    </row>
    <row r="10" spans="1:12">
      <c r="B10" s="124"/>
      <c r="C10" s="125"/>
      <c r="D10" s="275"/>
      <c r="E10" s="126">
        <v>0.25</v>
      </c>
      <c r="F10" s="127">
        <v>0.1</v>
      </c>
      <c r="G10" s="128"/>
      <c r="H10" s="127">
        <v>0.1</v>
      </c>
      <c r="I10" s="129">
        <v>0.25</v>
      </c>
    </row>
    <row r="11" spans="1:12" ht="11.25" customHeight="1">
      <c r="B11" s="124"/>
      <c r="C11" s="125"/>
      <c r="D11" s="130" t="str">
        <f>IF(Inputs!$C$12,Inputs!$C$11,"")</f>
        <v>Irr Corn</v>
      </c>
      <c r="E11" s="131">
        <f>IF(Inputs!$C$12,Inputs!$C$17*0.75,"")</f>
        <v>165</v>
      </c>
      <c r="F11" s="131">
        <f>IF(Inputs!$C$12,Inputs!$C$17*0.9,"")</f>
        <v>198</v>
      </c>
      <c r="G11" s="132">
        <f>IF(Inputs!$C$12,Inputs!$C$17,"")</f>
        <v>220</v>
      </c>
      <c r="H11" s="131">
        <f>IF(Inputs!$C$12,Inputs!$C$17*1.1,"")</f>
        <v>242.00000000000003</v>
      </c>
      <c r="I11" s="133">
        <f>IF(Inputs!$C$12,Inputs!$C$17*1.25,"")</f>
        <v>275</v>
      </c>
    </row>
    <row r="12" spans="1:12" ht="11.25" customHeight="1">
      <c r="B12" s="124"/>
      <c r="C12" s="125"/>
      <c r="D12" s="130" t="str">
        <f>IF(Inputs!$D$12,Inputs!$D$11,"")</f>
        <v>Irr Soybeans</v>
      </c>
      <c r="E12" s="131">
        <f>IF(Inputs!$D$12,Inputs!$D$17*0.75,"")</f>
        <v>45</v>
      </c>
      <c r="F12" s="131">
        <f>IF(Inputs!$D$12,Inputs!$D$17*0.9,"")</f>
        <v>54</v>
      </c>
      <c r="G12" s="132">
        <f>IF(Inputs!$D$12,Inputs!$D$17,"")</f>
        <v>60</v>
      </c>
      <c r="H12" s="131">
        <f>IF(Inputs!$D$12,Inputs!$D$17*1.1,"")</f>
        <v>66</v>
      </c>
      <c r="I12" s="133">
        <f>IF(Inputs!$D$12,Inputs!$D$17*1.25,"")</f>
        <v>75</v>
      </c>
    </row>
    <row r="13" spans="1:12" ht="11.25" customHeight="1">
      <c r="B13" s="124"/>
      <c r="C13" s="125"/>
      <c r="D13" s="130" t="str">
        <f>IF(Inputs!$E$12,Inputs!$E$11,"")</f>
        <v>Dry Corn</v>
      </c>
      <c r="E13" s="131">
        <f>IF(Inputs!$E$12,Inputs!$E$17*0.75,"")</f>
        <v>105</v>
      </c>
      <c r="F13" s="131">
        <f>IF(Inputs!$E$12,Inputs!$E$17*0.9,"")</f>
        <v>126</v>
      </c>
      <c r="G13" s="132">
        <f>IF(Inputs!$E$12,Inputs!$E$17,"")</f>
        <v>140</v>
      </c>
      <c r="H13" s="131">
        <f>IF(Inputs!$E$12,Inputs!$E$17*1.1,"")</f>
        <v>154</v>
      </c>
      <c r="I13" s="133">
        <f>IF(Inputs!$E$12,Inputs!$E$17*1.25,"")</f>
        <v>175</v>
      </c>
    </row>
    <row r="14" spans="1:12" ht="12" customHeight="1">
      <c r="B14" s="280" t="s">
        <v>230</v>
      </c>
      <c r="C14" s="281"/>
      <c r="D14" s="134" t="str">
        <f>IF(Inputs!$F$12,Inputs!$F$11,"")</f>
        <v>Dry Soybeans</v>
      </c>
      <c r="E14" s="131">
        <f>IF(Inputs!$F$12,Inputs!$F$17*0.75,"")</f>
        <v>33.75</v>
      </c>
      <c r="F14" s="131">
        <f>IF(Inputs!$F$12,Inputs!$F$17*0.9,"")</f>
        <v>40.5</v>
      </c>
      <c r="G14" s="132">
        <f>IF(Inputs!$F$12,Inputs!$F$17,"")</f>
        <v>45</v>
      </c>
      <c r="H14" s="131">
        <f>IF(Inputs!$F$12,Inputs!$F$17*1.1,"")</f>
        <v>49.500000000000007</v>
      </c>
      <c r="I14" s="133">
        <f>IF(Inputs!$F$12,Inputs!$F$17*1.25,"")</f>
        <v>56.25</v>
      </c>
    </row>
    <row r="15" spans="1:12">
      <c r="B15" s="135"/>
      <c r="C15" s="136" t="str">
        <f>IF(Inputs!$C$12,Inputs!$C$11,"")</f>
        <v>Irr Corn</v>
      </c>
      <c r="D15" s="137">
        <f>IF(Inputs!$C$12,Inputs!$C$18*0.75,"")</f>
        <v>4.125</v>
      </c>
      <c r="E15" s="277">
        <f>IF(Inputs!$J$12,(SUMPRODUCT(D15:D18,$E$11:$E$14,$F$146:$F$149)+'Cash Summary'!$G$42+'Cash Summary'!$G$43-'Cash Summary'!$G$60+($E$10*'Cash Summary'!$G$57)+($E$10*'Cash Summary'!$G$57*(Inputs!$C$174*(Inputs!$C$175/12))))/Inputs!J13,"")</f>
        <v>-69.893372656249966</v>
      </c>
      <c r="F15" s="277">
        <f>IF(Inputs!$J$12,(SUMPRODUCT(D15:D18,$F$11:$F$14,$F$146:$F$149)+'Cash Summary'!$G$42+'Cash Summary'!$G$43-'Cash Summary'!$G$60+($F$10*'Cash Summary'!$G$57)+($F$10*'Cash Summary'!$G$57*(Inputs!$C$174*(Inputs!$C$175/12))))/Inputs!J13,"")</f>
        <v>26.603401562500029</v>
      </c>
      <c r="G15" s="282">
        <f>IF(Inputs!$J$12,(SUMPRODUCT(D15:D18,$G$11:$G$14,$F$146:$F$149)+'Cash Summary'!$G$42+'Cash Summary'!$G$43-'Cash Summary'!$G$60)/Inputs!J13,"")</f>
        <v>90.934584375000028</v>
      </c>
      <c r="H15" s="277">
        <f>IF(Inputs!$J$12,(SUMPRODUCT(D15:D18,$H$11:$H$14,$F$146:$F$149)+'Cash Summary'!$G$42+'Cash Summary'!$G$43-'Cash Summary'!$G$60-($H$10*'Cash Summary'!$G$57)-($H$10*'Cash Summary'!$G$57*(Inputs!$C$174*(Inputs!$C$175/12))))/Inputs!J13,"")</f>
        <v>155.26576718750002</v>
      </c>
      <c r="I15" s="285">
        <f>IF(Inputs!$J$12,(SUMPRODUCT(D15:D18,$I$11:$I$14,$F$146:$F$149)+'Cash Summary'!$G$42+'Cash Summary'!$G$43-'Cash Summary'!$G$60-($I$10*'Cash Summary'!$G$57)-($I$10*'Cash Summary'!$G$57*(Inputs!$C$174*(Inputs!$C$175/12))))/Inputs!J13,"")</f>
        <v>251.76254140625002</v>
      </c>
    </row>
    <row r="16" spans="1:12">
      <c r="B16" s="138">
        <v>0.25</v>
      </c>
      <c r="C16" s="139" t="str">
        <f>IF(Inputs!$D$12,Inputs!$D$11,"")</f>
        <v>Irr Soybeans</v>
      </c>
      <c r="D16" s="137">
        <f>IF(Inputs!$D$12,Inputs!$D$18*0.75,"")</f>
        <v>8.625</v>
      </c>
      <c r="E16" s="278"/>
      <c r="F16" s="278"/>
      <c r="G16" s="283"/>
      <c r="H16" s="278"/>
      <c r="I16" s="286"/>
      <c r="L16" s="82"/>
    </row>
    <row r="17" spans="2:12">
      <c r="B17" s="138" t="s">
        <v>227</v>
      </c>
      <c r="C17" s="139" t="str">
        <f>IF(Inputs!$E$12,Inputs!$E$11,"")</f>
        <v>Dry Corn</v>
      </c>
      <c r="D17" s="137">
        <f>IF(Inputs!$E$12,Inputs!$E$18*0.75,"")</f>
        <v>4.125</v>
      </c>
      <c r="E17" s="278"/>
      <c r="F17" s="278"/>
      <c r="G17" s="283"/>
      <c r="H17" s="278"/>
      <c r="I17" s="286"/>
      <c r="L17" s="82"/>
    </row>
    <row r="18" spans="2:12">
      <c r="B18" s="140"/>
      <c r="C18" s="141" t="str">
        <f>IF(Inputs!$F$12,Inputs!$F$11,"")</f>
        <v>Dry Soybeans</v>
      </c>
      <c r="D18" s="142">
        <f>IF(Inputs!$F$12,Inputs!$F$18*0.75,"")</f>
        <v>8.625</v>
      </c>
      <c r="E18" s="278"/>
      <c r="F18" s="278"/>
      <c r="G18" s="283"/>
      <c r="H18" s="278"/>
      <c r="I18" s="286"/>
      <c r="L18" s="82"/>
    </row>
    <row r="19" spans="2:12">
      <c r="B19" s="143"/>
      <c r="C19" s="139" t="str">
        <f>IF(Inputs!$C$12,Inputs!$C$11,"")</f>
        <v>Irr Corn</v>
      </c>
      <c r="D19" s="137">
        <f>IF(Inputs!$C$12,Inputs!$C$18*0.9,"")</f>
        <v>4.95</v>
      </c>
      <c r="E19" s="277">
        <f>IF(Inputs!$J$12,(SUMPRODUCT(D19:D22,$E$11:$E$14,$F$146:$F$149)+'Cash Summary'!$G$42+'Cash Summary'!$G$43-'Cash Summary'!$G$60+($E$10*'Cash Summary'!$G$57)+($E$10*'Cash Summary'!$G$57*(Inputs!$C$174*(Inputs!$C$175/12))))/Inputs!J13,"")</f>
        <v>30.521666406250027</v>
      </c>
      <c r="F19" s="277">
        <f>IF(Inputs!$J$12,(SUMPRODUCT(D19:D22,$F$11:$F$14,$F$146:$F$149)+'Cash Summary'!$G$42+'Cash Summary'!$G$43-'Cash Summary'!$G$60+($F$10*'Cash Summary'!$G$57)+($F$10*'Cash Summary'!$G$57*(Inputs!$C$174*(Inputs!$C$175/12))))/Inputs!J13,"")</f>
        <v>147.10144843750004</v>
      </c>
      <c r="G19" s="282">
        <f>IF(Inputs!$J$12,(SUMPRODUCT(D19:D22,$G$11:$G$14,$F$146:$F$149)+'Cash Summary'!$G$42+'Cash Summary'!$G$43-'Cash Summary'!$G$60)/Inputs!J13,"")</f>
        <v>224.82130312500004</v>
      </c>
      <c r="H19" s="277">
        <f>IF(Inputs!$J$12,(SUMPRODUCT(D19:D22,$H$11:$H$14,$F$146:$F$149)+'Cash Summary'!$G$42+'Cash Summary'!$G$43-'Cash Summary'!$G$60-($H$10*'Cash Summary'!$G$57)-($H$10*'Cash Summary'!$G$57*(Inputs!$C$174*(Inputs!$C$175/12))))/Inputs!J13,"")</f>
        <v>302.54115781250005</v>
      </c>
      <c r="I19" s="285">
        <f>IF(Inputs!$J$12,(SUMPRODUCT(D19:D22,$I$11:$I$14,$F$146:$F$149)+'Cash Summary'!$G$42+'Cash Summary'!$G$43-'Cash Summary'!$G$60-($I$10*'Cash Summary'!$G$57)-($I$10*'Cash Summary'!$G$57*(Inputs!$C$174*(Inputs!$C$175/12))))/Inputs!J13,"")</f>
        <v>419.12093984375008</v>
      </c>
    </row>
    <row r="20" spans="2:12">
      <c r="B20" s="138">
        <v>0.1</v>
      </c>
      <c r="C20" s="139" t="str">
        <f>IF(Inputs!$D$12,Inputs!$D$11,"")</f>
        <v>Irr Soybeans</v>
      </c>
      <c r="D20" s="137">
        <f>IF(Inputs!$D$12,Inputs!$D$18*0.9,"")</f>
        <v>10.35</v>
      </c>
      <c r="E20" s="278"/>
      <c r="F20" s="278"/>
      <c r="G20" s="283"/>
      <c r="H20" s="278"/>
      <c r="I20" s="286"/>
      <c r="L20" s="82"/>
    </row>
    <row r="21" spans="2:12">
      <c r="B21" s="138" t="s">
        <v>227</v>
      </c>
      <c r="C21" s="139" t="str">
        <f>IF(Inputs!$E$12,Inputs!$E$11,"")</f>
        <v>Dry Corn</v>
      </c>
      <c r="D21" s="137">
        <f>IF(Inputs!$E$12,Inputs!$E$18*0.9,"")</f>
        <v>4.95</v>
      </c>
      <c r="E21" s="278"/>
      <c r="F21" s="278"/>
      <c r="G21" s="283"/>
      <c r="H21" s="278"/>
      <c r="I21" s="286"/>
    </row>
    <row r="22" spans="2:12">
      <c r="B22" s="140"/>
      <c r="C22" s="141" t="str">
        <f>IF(Inputs!$F$12,Inputs!$F$11,"")</f>
        <v>Dry Soybeans</v>
      </c>
      <c r="D22" s="142">
        <f>IF(Inputs!$F$12,Inputs!$F$18*0.9,"")</f>
        <v>10.35</v>
      </c>
      <c r="E22" s="278"/>
      <c r="F22" s="278"/>
      <c r="G22" s="283"/>
      <c r="H22" s="278"/>
      <c r="I22" s="286"/>
    </row>
    <row r="23" spans="2:12">
      <c r="B23" s="144"/>
      <c r="C23" s="145" t="str">
        <f>IF(Inputs!$C$12,Inputs!$C$11,"")</f>
        <v>Irr Corn</v>
      </c>
      <c r="D23" s="146">
        <f>IF(Inputs!$C$12,Inputs!$C$18,"")</f>
        <v>5.5</v>
      </c>
      <c r="E23" s="282">
        <f>IF(Inputs!$J$12,(SUMPRODUCT(D23:D26,$E$11:$E$14,$F$146:$F$149)+'Cash Summary'!$G$42+'Cash Summary'!$G$43-'Cash Summary'!$G$60+($E$10*'Cash Summary'!$G$57)+($E$10*'Cash Summary'!$G$57*(Inputs!$C$174*(Inputs!$C$175/12))))/Inputs!J13,"")</f>
        <v>97.465025781250034</v>
      </c>
      <c r="F23" s="282">
        <f>IF(Inputs!$J$12,(SUMPRODUCT(D23:D26,$F$11:$F$14,$F$146:$F$149)+'Cash Summary'!$G$42+'Cash Summary'!$G$43-'Cash Summary'!$G$60+($F$10*'Cash Summary'!$G$57)+($F$10*'Cash Summary'!$G$57*(Inputs!$C$174*(Inputs!$C$175/12))))/Inputs!J13,"")</f>
        <v>227.43347968750004</v>
      </c>
      <c r="G23" s="282">
        <f>IF(Inputs!$J$12,(SUMPRODUCT(D23:D26,$G$11:$G$14,$F$146:$F$149)+'Cash Summary'!$G$42+'Cash Summary'!$G$43-'Cash Summary'!$G$60)/Inputs!J13,"")</f>
        <v>314.07911562500004</v>
      </c>
      <c r="H23" s="282">
        <f>IF(Inputs!$J$12,(SUMPRODUCT(D23:D26,$H$11:$H$14,$F$146:$F$149)+'Cash Summary'!$G$42+'Cash Summary'!$G$43-'Cash Summary'!$G$60-($H$10*'Cash Summary'!$G$57)-($H$10*'Cash Summary'!$G$57*(Inputs!$C$174*(Inputs!$C$175/12))))/Inputs!J13,"")</f>
        <v>400.72475156250005</v>
      </c>
      <c r="I23" s="290">
        <f>IF(Inputs!$J$12,(SUMPRODUCT(D23:D26,$I$11:$I$14,$F$146:$F$149)+'Cash Summary'!$G$42+'Cash Summary'!$G$43-'Cash Summary'!$G$60-($I$10*'Cash Summary'!$G$57)-($I$10*'Cash Summary'!$G$57*(Inputs!$C$174*(Inputs!$C$175/12))))/Inputs!J13,"")</f>
        <v>530.69320546875008</v>
      </c>
      <c r="L23" s="147"/>
    </row>
    <row r="24" spans="2:12">
      <c r="B24" s="284" t="s">
        <v>228</v>
      </c>
      <c r="C24" s="145" t="str">
        <f>IF(Inputs!$D$12,Inputs!$D$11,"")</f>
        <v>Irr Soybeans</v>
      </c>
      <c r="D24" s="146">
        <f>IF(Inputs!$D$12,Inputs!$D$18,"")</f>
        <v>11.5</v>
      </c>
      <c r="E24" s="283"/>
      <c r="F24" s="283"/>
      <c r="G24" s="283"/>
      <c r="H24" s="283"/>
      <c r="I24" s="291"/>
    </row>
    <row r="25" spans="2:12">
      <c r="B25" s="284"/>
      <c r="C25" s="145" t="str">
        <f>IF(Inputs!$E$12,Inputs!$E$11,"")</f>
        <v>Dry Corn</v>
      </c>
      <c r="D25" s="146">
        <f>IF(Inputs!$E$12,Inputs!$E$18,"")</f>
        <v>5.5</v>
      </c>
      <c r="E25" s="283"/>
      <c r="F25" s="283"/>
      <c r="G25" s="283"/>
      <c r="H25" s="283"/>
      <c r="I25" s="291"/>
    </row>
    <row r="26" spans="2:12">
      <c r="B26" s="148"/>
      <c r="C26" s="149" t="str">
        <f>IF(Inputs!$F$12,Inputs!$F$11,"")</f>
        <v>Dry Soybeans</v>
      </c>
      <c r="D26" s="150">
        <f>IF(Inputs!$F$12,Inputs!$F$18,"")</f>
        <v>11.5</v>
      </c>
      <c r="E26" s="283"/>
      <c r="F26" s="283"/>
      <c r="G26" s="283"/>
      <c r="H26" s="283"/>
      <c r="I26" s="291"/>
    </row>
    <row r="27" spans="2:12">
      <c r="B27" s="143"/>
      <c r="C27" s="139" t="str">
        <f>IF(Inputs!$C$12,Inputs!$C$11,"")</f>
        <v>Irr Corn</v>
      </c>
      <c r="D27" s="137">
        <f>IF(Inputs!$C$12,Inputs!$C$18*1.1,"")</f>
        <v>6.0500000000000007</v>
      </c>
      <c r="E27" s="277">
        <f>IF(Inputs!$J$12,(SUMPRODUCT(D27:D30,$E$11:$E$14,$F$146:$F$149)+'Cash Summary'!$G$42+'Cash Summary'!$G$43-'Cash Summary'!$G$60+($E$10*'Cash Summary'!$G$57)+($E$10*'Cash Summary'!$G$57*(Inputs!$C$174*(Inputs!$C$175/12))))/Inputs!J13,"")</f>
        <v>164.40838515625003</v>
      </c>
      <c r="F27" s="277">
        <f>IF(Inputs!$J$12,(SUMPRODUCT(D27:D30,$F$11:$F$14,$F$146:$F$149)+'Cash Summary'!$G$42+'Cash Summary'!$G$43-'Cash Summary'!$G$60+($F$10*'Cash Summary'!$G$57)+($F$10*'Cash Summary'!$G$57*(Inputs!$C$174*(Inputs!$C$175/12))))/Inputs!J13,"")</f>
        <v>307.76551093750004</v>
      </c>
      <c r="G27" s="282">
        <f>IF(Inputs!$J$12,(SUMPRODUCT(D27:D30,$G$11:$G$14,$F$146:$F$149)+'Cash Summary'!$G$42+'Cash Summary'!$G$43-'Cash Summary'!$G$60)/Inputs!J13,"")</f>
        <v>403.33692812500004</v>
      </c>
      <c r="H27" s="277">
        <f>IF(Inputs!$J$12,(SUMPRODUCT(D27:D30,$H$11:$H$14,$F$146:$F$149)+'Cash Summary'!$G$42+'Cash Summary'!$G$43-'Cash Summary'!$G$60-($H$10*'Cash Summary'!$G$57)-($H$10*'Cash Summary'!$G$57*(Inputs!$C$174*(Inputs!$C$175/12))))/Inputs!J13,"")</f>
        <v>498.90834531250022</v>
      </c>
      <c r="I27" s="285">
        <f>IF(Inputs!$J$12,(SUMPRODUCT(D27:D30,$I$11:$I$14,$F$146:$F$149)+'Cash Summary'!$G$42+'Cash Summary'!$G$43-'Cash Summary'!$G$60-($I$10*'Cash Summary'!$G$57)-($I$10*'Cash Summary'!$G$57*(Inputs!$C$174*(Inputs!$C$175/12))))/Inputs!J13,"")</f>
        <v>642.26547109375008</v>
      </c>
    </row>
    <row r="28" spans="2:12">
      <c r="B28" s="138">
        <v>0.1</v>
      </c>
      <c r="C28" s="139" t="str">
        <f>IF(Inputs!$D$12,Inputs!$D$11,"")</f>
        <v>Irr Soybeans</v>
      </c>
      <c r="D28" s="137">
        <f>IF(Inputs!$D$12,Inputs!$D$18*1.1,"")</f>
        <v>12.65</v>
      </c>
      <c r="E28" s="278"/>
      <c r="F28" s="278"/>
      <c r="G28" s="283"/>
      <c r="H28" s="278"/>
      <c r="I28" s="286"/>
    </row>
    <row r="29" spans="2:12">
      <c r="B29" s="138" t="s">
        <v>229</v>
      </c>
      <c r="C29" s="139" t="str">
        <f>IF(Inputs!$E$12,Inputs!$E$11,"")</f>
        <v>Dry Corn</v>
      </c>
      <c r="D29" s="137">
        <f>IF(Inputs!$E$12,Inputs!$E$18*1.1,"")</f>
        <v>6.0500000000000007</v>
      </c>
      <c r="E29" s="278"/>
      <c r="F29" s="278"/>
      <c r="G29" s="283"/>
      <c r="H29" s="278"/>
      <c r="I29" s="286"/>
    </row>
    <row r="30" spans="2:12">
      <c r="B30" s="140"/>
      <c r="C30" s="141" t="str">
        <f>IF(Inputs!$F$12,Inputs!$F$11,"")</f>
        <v>Dry Soybeans</v>
      </c>
      <c r="D30" s="142">
        <f>IF(Inputs!$F$12,Inputs!$F$18*1.1,"")</f>
        <v>12.65</v>
      </c>
      <c r="E30" s="278"/>
      <c r="F30" s="278"/>
      <c r="G30" s="283"/>
      <c r="H30" s="278"/>
      <c r="I30" s="286"/>
    </row>
    <row r="31" spans="2:12">
      <c r="B31" s="143"/>
      <c r="C31" s="139" t="str">
        <f>IF(Inputs!$C$12,Inputs!$C$11,"")</f>
        <v>Irr Corn</v>
      </c>
      <c r="D31" s="137">
        <f>IF(Inputs!$C$12,Inputs!$C$18*1.25,"")</f>
        <v>6.875</v>
      </c>
      <c r="E31" s="277">
        <f>IF(Inputs!$J$12,(SUMPRODUCT(D31:D34,$E$11:$E$14,$F$146:$F$149)+'Cash Summary'!$G$42+'Cash Summary'!$G$43-'Cash Summary'!$G$60+($E$10*'Cash Summary'!$G$57)+($E$10*'Cash Summary'!$G$57*(Inputs!$C$174*(Inputs!$C$175/12))))/Inputs!J13,"")</f>
        <v>264.82342421875006</v>
      </c>
      <c r="F31" s="277">
        <f>IF(Inputs!$J$12,(SUMPRODUCT(D31:D34,$F$11:$F$14,$F$146:$F$149)+'Cash Summary'!$G$42+'Cash Summary'!$G$43-'Cash Summary'!$G$60+($F$10*'Cash Summary'!$G$57)+($F$10*'Cash Summary'!$G$57*(Inputs!$C$174*(Inputs!$C$175/12))))/Inputs!J13,"")</f>
        <v>428.26355781250004</v>
      </c>
      <c r="G31" s="282">
        <f>IF(Inputs!$J$12,(SUMPRODUCT(D31:D34,$G$11:$G$14,$F$146:$F$149)+'Cash Summary'!$G$42+'Cash Summary'!$G$43-'Cash Summary'!$G$60)/Inputs!J13,"")</f>
        <v>537.22364687499999</v>
      </c>
      <c r="H31" s="277">
        <f>IF(Inputs!$J$12,(SUMPRODUCT(D31:D34,$H$11:$H$14,$F$146:$F$149)+'Cash Summary'!$G$42+'Cash Summary'!$G$43-'Cash Summary'!$G$60-($H$10*'Cash Summary'!$G$57)-($H$10*'Cash Summary'!$G$57*(Inputs!$C$174*(Inputs!$C$175/12))))/Inputs!J13,"")</f>
        <v>646.18373593750005</v>
      </c>
      <c r="I31" s="285">
        <f>IF(Inputs!$J$12,(SUMPRODUCT(D31:D34,$I$11:$I$14,$F$146:$F$149)+'Cash Summary'!$G$42+'Cash Summary'!$G$43-'Cash Summary'!$G$60-($I$10*'Cash Summary'!$G$57)-($I$10*'Cash Summary'!$G$57*(Inputs!$C$174*(Inputs!$C$175/12))))/Inputs!J13,"")</f>
        <v>809.62386953125008</v>
      </c>
    </row>
    <row r="32" spans="2:12">
      <c r="B32" s="138">
        <v>0.25</v>
      </c>
      <c r="C32" s="139" t="str">
        <f>IF(Inputs!$D$12,Inputs!$D$11,"")</f>
        <v>Irr Soybeans</v>
      </c>
      <c r="D32" s="137">
        <f>IF(Inputs!$D$12,Inputs!$D$18*1.25,"")</f>
        <v>14.375</v>
      </c>
      <c r="E32" s="278"/>
      <c r="F32" s="278"/>
      <c r="G32" s="283"/>
      <c r="H32" s="278"/>
      <c r="I32" s="286"/>
    </row>
    <row r="33" spans="1:10">
      <c r="B33" s="138" t="s">
        <v>229</v>
      </c>
      <c r="C33" s="139" t="str">
        <f>IF(Inputs!$E$12,Inputs!$E$11,"")</f>
        <v>Dry Corn</v>
      </c>
      <c r="D33" s="137">
        <f>IF(Inputs!$E$12,Inputs!$E$18*1.25,"")</f>
        <v>6.875</v>
      </c>
      <c r="E33" s="278"/>
      <c r="F33" s="278"/>
      <c r="G33" s="283"/>
      <c r="H33" s="278"/>
      <c r="I33" s="286"/>
    </row>
    <row r="34" spans="1:10" ht="13.5" thickBot="1">
      <c r="B34" s="151"/>
      <c r="C34" s="152" t="str">
        <f>IF(Inputs!$F$12,Inputs!$F$11,"")</f>
        <v>Dry Soybeans</v>
      </c>
      <c r="D34" s="153">
        <f>IF(Inputs!$F$12,Inputs!$F$18*1.25,"")</f>
        <v>14.375</v>
      </c>
      <c r="E34" s="279"/>
      <c r="F34" s="279"/>
      <c r="G34" s="288"/>
      <c r="H34" s="279"/>
      <c r="I34" s="287"/>
    </row>
    <row r="35" spans="1:10" ht="13.5" customHeight="1">
      <c r="G35" s="18"/>
    </row>
    <row r="36" spans="1:10" ht="15">
      <c r="A36" s="118" t="s">
        <v>231</v>
      </c>
      <c r="B36" s="18"/>
      <c r="C36" s="18"/>
      <c r="D36" s="18"/>
      <c r="E36" s="18"/>
      <c r="F36" s="18"/>
      <c r="G36" s="18"/>
      <c r="H36" s="18"/>
      <c r="I36" s="18"/>
      <c r="J36" s="18"/>
    </row>
    <row r="37" spans="1:10" ht="15">
      <c r="A37" s="118" t="s">
        <v>225</v>
      </c>
      <c r="B37" s="18"/>
      <c r="C37" s="18"/>
      <c r="D37" s="18"/>
      <c r="E37" s="18"/>
      <c r="F37" s="18"/>
      <c r="G37" s="18"/>
      <c r="H37" s="18"/>
      <c r="I37" s="18"/>
      <c r="J37" s="18"/>
    </row>
    <row r="38" spans="1:10" ht="13.5" thickBot="1"/>
    <row r="39" spans="1:10">
      <c r="B39" s="154"/>
      <c r="C39" s="122"/>
      <c r="D39" s="274" t="s">
        <v>226</v>
      </c>
      <c r="E39" s="276" t="s">
        <v>227</v>
      </c>
      <c r="F39" s="276"/>
      <c r="G39" s="123" t="s">
        <v>228</v>
      </c>
      <c r="H39" s="276" t="s">
        <v>229</v>
      </c>
      <c r="I39" s="289"/>
    </row>
    <row r="40" spans="1:10">
      <c r="B40" s="124"/>
      <c r="C40" s="125"/>
      <c r="D40" s="275"/>
      <c r="E40" s="126">
        <v>0.25</v>
      </c>
      <c r="F40" s="127">
        <v>0.1</v>
      </c>
      <c r="G40" s="128"/>
      <c r="H40" s="127">
        <v>0.1</v>
      </c>
      <c r="I40" s="129">
        <v>0.25</v>
      </c>
    </row>
    <row r="41" spans="1:10">
      <c r="B41" s="124"/>
      <c r="C41" s="125"/>
      <c r="D41" s="130" t="str">
        <f>IF(Inputs!$C$12,Inputs!$C$11,"")</f>
        <v>Irr Corn</v>
      </c>
      <c r="E41" s="155">
        <f>IF(Inputs!$C$12,Inputs!$C$17*0.75,"")</f>
        <v>165</v>
      </c>
      <c r="F41" s="155">
        <f>IF(Inputs!$C$12,Inputs!$C$17*0.9,"")</f>
        <v>198</v>
      </c>
      <c r="G41" s="156">
        <f>IF(Inputs!$C$12,Inputs!$C$17,"")</f>
        <v>220</v>
      </c>
      <c r="H41" s="155">
        <f>IF(Inputs!$C$12,Inputs!$C$17*1.1,"")</f>
        <v>242.00000000000003</v>
      </c>
      <c r="I41" s="157">
        <f>IF(Inputs!$C$12,Inputs!$C$17*1.25,"")</f>
        <v>275</v>
      </c>
    </row>
    <row r="42" spans="1:10">
      <c r="B42" s="124"/>
      <c r="C42" s="125"/>
      <c r="D42" s="130" t="str">
        <f>IF(Inputs!$D$12,Inputs!$D$11,"")</f>
        <v>Irr Soybeans</v>
      </c>
      <c r="E42" s="155">
        <f>IF(Inputs!$D$12,Inputs!$D$17*0.75,"")</f>
        <v>45</v>
      </c>
      <c r="F42" s="155">
        <f>IF(Inputs!$D$12,Inputs!$D$17*0.9,"")</f>
        <v>54</v>
      </c>
      <c r="G42" s="156">
        <f>IF(Inputs!$D$12,Inputs!$D$17,"")</f>
        <v>60</v>
      </c>
      <c r="H42" s="155">
        <f>IF(Inputs!$D$12,Inputs!$D$17*1.1,"")</f>
        <v>66</v>
      </c>
      <c r="I42" s="157">
        <f>IF(Inputs!$D$12,Inputs!$D$17*1.25,"")</f>
        <v>75</v>
      </c>
    </row>
    <row r="43" spans="1:10">
      <c r="B43" s="124"/>
      <c r="C43" s="125"/>
      <c r="D43" s="130" t="str">
        <f>IF(Inputs!$E$12,Inputs!$E$11,"")</f>
        <v>Dry Corn</v>
      </c>
      <c r="E43" s="155">
        <f>IF(Inputs!$E$12,Inputs!$E$17*0.75,"")</f>
        <v>105</v>
      </c>
      <c r="F43" s="155">
        <f>IF(Inputs!$E$12,Inputs!$E$17*0.9,"")</f>
        <v>126</v>
      </c>
      <c r="G43" s="156">
        <f>IF(Inputs!$E$12,Inputs!$E$17,"")</f>
        <v>140</v>
      </c>
      <c r="H43" s="155">
        <f>IF(Inputs!$E$12,Inputs!$E$17*1.1,"")</f>
        <v>154</v>
      </c>
      <c r="I43" s="157">
        <f>IF(Inputs!$E$12,Inputs!$E$17*1.25,"")</f>
        <v>175</v>
      </c>
    </row>
    <row r="44" spans="1:10">
      <c r="B44" s="280" t="s">
        <v>230</v>
      </c>
      <c r="C44" s="281"/>
      <c r="D44" s="134" t="str">
        <f>IF(Inputs!$F$12,Inputs!$F$11,"")</f>
        <v>Dry Soybeans</v>
      </c>
      <c r="E44" s="155">
        <f>IF(Inputs!$F$12,Inputs!$F$17*0.75,"")</f>
        <v>33.75</v>
      </c>
      <c r="F44" s="155">
        <f>IF(Inputs!$F$12,Inputs!$F$17*0.9,"")</f>
        <v>40.5</v>
      </c>
      <c r="G44" s="156">
        <f>IF(Inputs!$F$12,Inputs!$F$17,"")</f>
        <v>45</v>
      </c>
      <c r="H44" s="155">
        <f>IF(Inputs!$F$12,Inputs!$F$17*1.1,"")</f>
        <v>49.500000000000007</v>
      </c>
      <c r="I44" s="157">
        <f>IF(Inputs!$F$12,Inputs!$F$17*1.25,"")</f>
        <v>56.25</v>
      </c>
    </row>
    <row r="45" spans="1:10">
      <c r="B45" s="135"/>
      <c r="C45" s="136" t="str">
        <f>IF(Inputs!$C$12,Inputs!$C$11,"")</f>
        <v>Irr Corn</v>
      </c>
      <c r="D45" s="137">
        <f>IF(Inputs!$C$12,Inputs!$C$18*0.75,"")</f>
        <v>4.125</v>
      </c>
      <c r="E45" s="277">
        <f>IF(Inputs!$J$12,(SUMPRODUCT(D45:D48,$E$41:$E$44,$F$146:$F$149)+'Cash Summary'!$G$42+'Cash Summary'!$G$43-'Cash Summary'!$G$68+($E$40*'Cash Summary'!$G$57)+($E$40*'Cash Summary'!$G$57*(Inputs!$C$174*(Inputs!$C$175/12))))/Inputs!J13,"")</f>
        <v>-106.39337265624997</v>
      </c>
      <c r="F45" s="277">
        <f>IF(Inputs!$J$12,(SUMPRODUCT(D45:D48,$F$41:$F$44,$F$146:$F$149)+'Cash Summary'!$G$42+'Cash Summary'!$G$43-'Cash Summary'!$G$68+($F$40*'Cash Summary'!$G$57)+($F$40*'Cash Summary'!$G$57*(Inputs!$C$174*(Inputs!$C$175/12))))/Inputs!J13,"")</f>
        <v>-9.8965984374999678</v>
      </c>
      <c r="G45" s="282">
        <f>IF(Inputs!$J$12,(SUMPRODUCT(D45:D48,$G$41:$G$44,$F$146:$F$149)+'Cash Summary'!$G$42+'Cash Summary'!$G$43-'Cash Summary'!$G$68)/Inputs!J13,"")</f>
        <v>54.434584375000028</v>
      </c>
      <c r="H45" s="277">
        <f>IF(Inputs!$J$12,(SUMPRODUCT(D45:D48,$H$41:$H$44,$F$146:$F$149)+'Cash Summary'!$G$42+'Cash Summary'!$G$43-'Cash Summary'!$G$68-($H$40*'Cash Summary'!$G$57)-($H$40*'Cash Summary'!$G$57*(Inputs!$C$174*(Inputs!$C$175/12))))/Inputs!J13,"")</f>
        <v>118.76576718750002</v>
      </c>
      <c r="I45" s="285">
        <f>IF(Inputs!$J$12,(SUMPRODUCT(D45:D48,$I$41:$I$44,$F$146:$F$149)+'Cash Summary'!$G$42+'Cash Summary'!$G$43-'Cash Summary'!$G$68-($I$40*'Cash Summary'!$G$57)-($I$40*'Cash Summary'!$G$57*(Inputs!$C$174*(Inputs!$C$175/12))))/Inputs!J13,"")</f>
        <v>215.26254140625002</v>
      </c>
    </row>
    <row r="46" spans="1:10">
      <c r="B46" s="138">
        <v>0.25</v>
      </c>
      <c r="C46" s="139" t="str">
        <f>IF(Inputs!$D$12,Inputs!$D$11,"")</f>
        <v>Irr Soybeans</v>
      </c>
      <c r="D46" s="137">
        <f>IF(Inputs!$D$12,Inputs!$D$18*0.75,"")</f>
        <v>8.625</v>
      </c>
      <c r="E46" s="278"/>
      <c r="F46" s="278"/>
      <c r="G46" s="283"/>
      <c r="H46" s="278"/>
      <c r="I46" s="286"/>
    </row>
    <row r="47" spans="1:10">
      <c r="B47" s="138" t="s">
        <v>227</v>
      </c>
      <c r="C47" s="139" t="str">
        <f>IF(Inputs!$E$12,Inputs!$E$11,"")</f>
        <v>Dry Corn</v>
      </c>
      <c r="D47" s="137">
        <f>IF(Inputs!$E$12,Inputs!$E$18*0.75,"")</f>
        <v>4.125</v>
      </c>
      <c r="E47" s="278"/>
      <c r="F47" s="278"/>
      <c r="G47" s="283"/>
      <c r="H47" s="278"/>
      <c r="I47" s="286"/>
    </row>
    <row r="48" spans="1:10">
      <c r="B48" s="140"/>
      <c r="C48" s="141" t="str">
        <f>IF(Inputs!$F$12,Inputs!$F$11,"")</f>
        <v>Dry Soybeans</v>
      </c>
      <c r="D48" s="142">
        <f>IF(Inputs!$F$12,Inputs!$F$18*0.75,"")</f>
        <v>8.625</v>
      </c>
      <c r="E48" s="278"/>
      <c r="F48" s="278"/>
      <c r="G48" s="283"/>
      <c r="H48" s="278"/>
      <c r="I48" s="286"/>
    </row>
    <row r="49" spans="2:9">
      <c r="B49" s="143"/>
      <c r="C49" s="139" t="str">
        <f>IF(Inputs!$C$12,Inputs!$C$11,"")</f>
        <v>Irr Corn</v>
      </c>
      <c r="D49" s="137">
        <f>IF(Inputs!$C$12,Inputs!$C$18*0.9,"")</f>
        <v>4.95</v>
      </c>
      <c r="E49" s="277">
        <f>IF(Inputs!$J$12,(SUMPRODUCT(D49:D52,$E$41:$E$44,$F$146:$F$149)+'Cash Summary'!$G$42+'Cash Summary'!$G$43-'Cash Summary'!$G$68+($E$40*'Cash Summary'!$G$57)+($E$40*'Cash Summary'!$G$57*(Inputs!$C$174*(Inputs!$C$175/12))))/Inputs!J13,"")</f>
        <v>-5.9783335937499684</v>
      </c>
      <c r="F49" s="277">
        <f>IF(Inputs!$J$12,(SUMPRODUCT(D49:D52,$F$41:$F$44,$F$146:$F$149)+'Cash Summary'!$G$42+'Cash Summary'!$G$43-'Cash Summary'!$G$68+($F$40*'Cash Summary'!$G$57)+($F$40*'Cash Summary'!$G$57*(Inputs!$C$174*(Inputs!$C$175/12))))/Inputs!J13,"")</f>
        <v>110.60144843750004</v>
      </c>
      <c r="G49" s="282">
        <f>IF(Inputs!$J$12,(SUMPRODUCT(D49:D52,$G$41:$G$44,$F$146:$F$149)+'Cash Summary'!$G$42+'Cash Summary'!$G$43-'Cash Summary'!$G$68)/Inputs!J13,"")</f>
        <v>188.32130312500004</v>
      </c>
      <c r="H49" s="277">
        <f>IF(Inputs!$J$12,(SUMPRODUCT(D49:D52,$H$41:$H$44,$F$146:$F$149)+'Cash Summary'!$G$42+'Cash Summary'!$G$43-'Cash Summary'!$G$68-($H$40*'Cash Summary'!$G$57)-($H$40*'Cash Summary'!$G$57*(Inputs!$C$174*(Inputs!$C$175/12))))/Inputs!J13,"")</f>
        <v>266.04115781250005</v>
      </c>
      <c r="I49" s="285">
        <f>IF(Inputs!$J$12,(SUMPRODUCT(D49:D52,$I$41:$I$44,$F$146:$F$149)+'Cash Summary'!$G$42+'Cash Summary'!$G$43-'Cash Summary'!$G$68-($I$40*'Cash Summary'!$G$57)-($I$40*'Cash Summary'!$G$57*(Inputs!$C$174*(Inputs!$C$175/12))))/Inputs!J13,"")</f>
        <v>382.62093984375002</v>
      </c>
    </row>
    <row r="50" spans="2:9">
      <c r="B50" s="138">
        <v>0.1</v>
      </c>
      <c r="C50" s="139" t="str">
        <f>IF(Inputs!$D$12,Inputs!$D$11,"")</f>
        <v>Irr Soybeans</v>
      </c>
      <c r="D50" s="137">
        <f>IF(Inputs!$D$12,Inputs!$D$18*0.9,"")</f>
        <v>10.35</v>
      </c>
      <c r="E50" s="278"/>
      <c r="F50" s="278"/>
      <c r="G50" s="283"/>
      <c r="H50" s="278"/>
      <c r="I50" s="286"/>
    </row>
    <row r="51" spans="2:9">
      <c r="B51" s="138" t="s">
        <v>227</v>
      </c>
      <c r="C51" s="139" t="str">
        <f>IF(Inputs!$E$12,Inputs!$E$11,"")</f>
        <v>Dry Corn</v>
      </c>
      <c r="D51" s="137">
        <f>IF(Inputs!$E$12,Inputs!$E$18*0.9,"")</f>
        <v>4.95</v>
      </c>
      <c r="E51" s="278"/>
      <c r="F51" s="278"/>
      <c r="G51" s="283"/>
      <c r="H51" s="278"/>
      <c r="I51" s="286"/>
    </row>
    <row r="52" spans="2:9">
      <c r="B52" s="140"/>
      <c r="C52" s="141" t="str">
        <f>IF(Inputs!$F$12,Inputs!$F$11,"")</f>
        <v>Dry Soybeans</v>
      </c>
      <c r="D52" s="142">
        <f>IF(Inputs!$F$12,Inputs!$F$18*0.9,"")</f>
        <v>10.35</v>
      </c>
      <c r="E52" s="278"/>
      <c r="F52" s="278"/>
      <c r="G52" s="283"/>
      <c r="H52" s="278"/>
      <c r="I52" s="286"/>
    </row>
    <row r="53" spans="2:9">
      <c r="B53" s="144"/>
      <c r="C53" s="145" t="str">
        <f>IF(Inputs!$C$12,Inputs!$C$11,"")</f>
        <v>Irr Corn</v>
      </c>
      <c r="D53" s="146">
        <f>IF(Inputs!$C$12,Inputs!$C$18,"")</f>
        <v>5.5</v>
      </c>
      <c r="E53" s="282">
        <f>IF(Inputs!$J$12,(SUMPRODUCT(D53:D56,$E$41:$E$44,$F$146:$F$149)+'Cash Summary'!$G$42+'Cash Summary'!$G$43-'Cash Summary'!$G$68+($E$40*'Cash Summary'!$G$57)+($E$40*'Cash Summary'!$G$57*(Inputs!$C$174*(Inputs!$C$175/12))))/Inputs!J13,"")</f>
        <v>60.965025781250027</v>
      </c>
      <c r="F53" s="282">
        <f>IF(Inputs!$J$12,(SUMPRODUCT(D53:D56,$F$41:$F$44,$F$146:$F$149)+'Cash Summary'!$G$42+'Cash Summary'!$G$43-'Cash Summary'!$G$68+($F$40*'Cash Summary'!$G$57)+($F$40*'Cash Summary'!$G$57*(Inputs!$C$174*(Inputs!$C$175/12))))/Inputs!J13,"")</f>
        <v>190.93347968750004</v>
      </c>
      <c r="G53" s="282">
        <f>IF(Inputs!$J$12,(SUMPRODUCT(D53:D56,$G$41:$G$44,$F$146:$F$149)+'Cash Summary'!$G$42+'Cash Summary'!$G$43-'Cash Summary'!$G$68)/Inputs!J13,"")</f>
        <v>277.57911562500004</v>
      </c>
      <c r="H53" s="282">
        <f>IF(Inputs!$J$12,(SUMPRODUCT(D53:D56,$H$41:$H$44,$F$146:$F$149)+'Cash Summary'!$G$42+'Cash Summary'!$G$43-'Cash Summary'!$G$68-($H$40*'Cash Summary'!$G$57)-($H$40*'Cash Summary'!$G$57*(Inputs!$C$174*(Inputs!$C$175/12))))/Inputs!J13,"")</f>
        <v>364.22475156250005</v>
      </c>
      <c r="I53" s="290">
        <f>IF(Inputs!$J$12,(SUMPRODUCT(D53:D56,$I$41:$I$44,$F$146:$F$149)+'Cash Summary'!$G$42+'Cash Summary'!$G$43-'Cash Summary'!$G$68-($I$40*'Cash Summary'!$G$57)-($I$40*'Cash Summary'!$G$57*(Inputs!$C$174*(Inputs!$C$175/12))))/Inputs!J13,"")</f>
        <v>494.19320546875008</v>
      </c>
    </row>
    <row r="54" spans="2:9">
      <c r="B54" s="284" t="s">
        <v>228</v>
      </c>
      <c r="C54" s="145" t="str">
        <f>IF(Inputs!$D$12,Inputs!$D$11,"")</f>
        <v>Irr Soybeans</v>
      </c>
      <c r="D54" s="146">
        <f>IF(Inputs!$D$12,Inputs!$D$18,"")</f>
        <v>11.5</v>
      </c>
      <c r="E54" s="283"/>
      <c r="F54" s="283"/>
      <c r="G54" s="283"/>
      <c r="H54" s="283"/>
      <c r="I54" s="291"/>
    </row>
    <row r="55" spans="2:9">
      <c r="B55" s="284"/>
      <c r="C55" s="145" t="str">
        <f>IF(Inputs!$E$12,Inputs!$E$11,"")</f>
        <v>Dry Corn</v>
      </c>
      <c r="D55" s="146">
        <f>IF(Inputs!$E$12,Inputs!$E$18,"")</f>
        <v>5.5</v>
      </c>
      <c r="E55" s="283"/>
      <c r="F55" s="283"/>
      <c r="G55" s="283"/>
      <c r="H55" s="283"/>
      <c r="I55" s="291"/>
    </row>
    <row r="56" spans="2:9">
      <c r="B56" s="148"/>
      <c r="C56" s="149" t="str">
        <f>IF(Inputs!$F$12,Inputs!$F$11,"")</f>
        <v>Dry Soybeans</v>
      </c>
      <c r="D56" s="150">
        <f>IF(Inputs!$F$12,Inputs!$F$18,"")</f>
        <v>11.5</v>
      </c>
      <c r="E56" s="283"/>
      <c r="F56" s="283"/>
      <c r="G56" s="283"/>
      <c r="H56" s="283"/>
      <c r="I56" s="291"/>
    </row>
    <row r="57" spans="2:9">
      <c r="B57" s="143"/>
      <c r="C57" s="139" t="str">
        <f>IF(Inputs!$C$12,Inputs!$C$11,"")</f>
        <v>Irr Corn</v>
      </c>
      <c r="D57" s="137">
        <f>IF(Inputs!$C$12,Inputs!$C$18*1.1,"")</f>
        <v>6.0500000000000007</v>
      </c>
      <c r="E57" s="277">
        <f>IF(Inputs!$J$12,(SUMPRODUCT(D57:D60,$E$41:$E$44,$F$146:$F$149)+'Cash Summary'!$G$42+'Cash Summary'!$G$43-'Cash Summary'!$G$68+($E$40*'Cash Summary'!$G$57)+($E$40*'Cash Summary'!$G$57*(Inputs!$C$174*(Inputs!$C$175/12))))/Inputs!J13,"")</f>
        <v>127.90838515625003</v>
      </c>
      <c r="F57" s="277">
        <f>IF(Inputs!$J$12,(SUMPRODUCT(D57:D60,$F$41:$F$44,$F$146:$F$149)+'Cash Summary'!$G$42+'Cash Summary'!$G$43-'Cash Summary'!$G$68+($F$40*'Cash Summary'!$G$57)+($F$40*'Cash Summary'!$G$57*(Inputs!$C$174*(Inputs!$C$175/12))))/Inputs!J13,"")</f>
        <v>271.26551093750004</v>
      </c>
      <c r="G57" s="282">
        <f>IF(Inputs!$J$12,(SUMPRODUCT(D57:D60,$G$41:$G$44,$F$146:$F$149)+'Cash Summary'!$G$42+'Cash Summary'!$G$43-'Cash Summary'!$G$68)/Inputs!J13,"")</f>
        <v>366.83692812500004</v>
      </c>
      <c r="H57" s="277">
        <f>IF(Inputs!$J$12,(SUMPRODUCT(D57:D60,$H$41:$H$44,$F$146:$F$149)+'Cash Summary'!$G$42+'Cash Summary'!$G$43-'Cash Summary'!$G$68-($H$40*'Cash Summary'!$G$57)-($H$40*'Cash Summary'!$G$57*(Inputs!$C$174*(Inputs!$C$175/12))))/Inputs!J13,"")</f>
        <v>462.40834531250022</v>
      </c>
      <c r="I57" s="285">
        <f>IF(Inputs!$J$12,(SUMPRODUCT(D57:D60,$I$41:$I$44,$F$146:$F$149)+'Cash Summary'!$G$42+'Cash Summary'!$G$43-'Cash Summary'!$G$68-($I$40*'Cash Summary'!$G$57)-($I$40*'Cash Summary'!$G$57*(Inputs!$C$174*(Inputs!$C$175/12))))/Inputs!J13,"")</f>
        <v>605.76547109375008</v>
      </c>
    </row>
    <row r="58" spans="2:9">
      <c r="B58" s="138">
        <v>0.1</v>
      </c>
      <c r="C58" s="139" t="str">
        <f>IF(Inputs!$D$12,Inputs!$D$11,"")</f>
        <v>Irr Soybeans</v>
      </c>
      <c r="D58" s="137">
        <f>IF(Inputs!$D$12,Inputs!$D$18*1.1,"")</f>
        <v>12.65</v>
      </c>
      <c r="E58" s="278"/>
      <c r="F58" s="278"/>
      <c r="G58" s="283"/>
      <c r="H58" s="278"/>
      <c r="I58" s="286"/>
    </row>
    <row r="59" spans="2:9">
      <c r="B59" s="138" t="s">
        <v>229</v>
      </c>
      <c r="C59" s="139" t="str">
        <f>IF(Inputs!$E$12,Inputs!$E$11,"")</f>
        <v>Dry Corn</v>
      </c>
      <c r="D59" s="137">
        <f>IF(Inputs!$E$12,Inputs!$E$18*1.1,"")</f>
        <v>6.0500000000000007</v>
      </c>
      <c r="E59" s="278"/>
      <c r="F59" s="278"/>
      <c r="G59" s="283"/>
      <c r="H59" s="278"/>
      <c r="I59" s="286"/>
    </row>
    <row r="60" spans="2:9">
      <c r="B60" s="140"/>
      <c r="C60" s="141" t="str">
        <f>IF(Inputs!$F$12,Inputs!$F$11,"")</f>
        <v>Dry Soybeans</v>
      </c>
      <c r="D60" s="142">
        <f>IF(Inputs!$F$12,Inputs!$F$18*1.1,"")</f>
        <v>12.65</v>
      </c>
      <c r="E60" s="278"/>
      <c r="F60" s="278"/>
      <c r="G60" s="283"/>
      <c r="H60" s="278"/>
      <c r="I60" s="286"/>
    </row>
    <row r="61" spans="2:9">
      <c r="B61" s="143"/>
      <c r="C61" s="139" t="str">
        <f>IF(Inputs!$C$12,Inputs!$C$11,"")</f>
        <v>Irr Corn</v>
      </c>
      <c r="D61" s="137">
        <f>IF(Inputs!$C$12,Inputs!$C$18*1.25,"")</f>
        <v>6.875</v>
      </c>
      <c r="E61" s="277">
        <f>IF(Inputs!$J$12,(SUMPRODUCT(D61:D64,$E$41:$E$44,$F$146:$F$149)+'Cash Summary'!$G$42+'Cash Summary'!$G$43-'Cash Summary'!$G$68+($E$40*'Cash Summary'!$G$57)+($E$40*'Cash Summary'!$G$57*(Inputs!$C$174*(Inputs!$C$175/12))))/Inputs!J13,"")</f>
        <v>228.32342421875006</v>
      </c>
      <c r="F61" s="277">
        <f>IF(Inputs!$J$12,(SUMPRODUCT(D61:D64,$F$41:$F$44,$F$146:$F$149)+'Cash Summary'!$G$42+'Cash Summary'!$G$43-'Cash Summary'!$G$68+($F$40*'Cash Summary'!$G$57)+($F$40*'Cash Summary'!$G$57*(Inputs!$C$174*(Inputs!$C$175/12))))/Inputs!J13,"")</f>
        <v>391.76355781250004</v>
      </c>
      <c r="G61" s="282">
        <f>IF(Inputs!$J$12,(SUMPRODUCT(D61:D64,$G$41:$G$44,$F$146:$F$149)+'Cash Summary'!$G$42+'Cash Summary'!$G$43-'Cash Summary'!$G$68)/Inputs!J13,"")</f>
        <v>500.72364687500004</v>
      </c>
      <c r="H61" s="277">
        <f>IF(Inputs!$J$12,(SUMPRODUCT(D61:D64,$H$41:$H$44,$F$146:$F$149)+'Cash Summary'!$G$42+'Cash Summary'!$G$43-'Cash Summary'!$G$68-($H$40*'Cash Summary'!$G$57)-($H$40*'Cash Summary'!$G$57*(Inputs!$C$174*(Inputs!$C$175/12))))/Inputs!J13,"")</f>
        <v>609.68373593750005</v>
      </c>
      <c r="I61" s="285">
        <f>IF(Inputs!$J$12,(SUMPRODUCT(D61:D64,$I$41:$I$44,$F$146:$F$149)+'Cash Summary'!$G$42+'Cash Summary'!$G$43-'Cash Summary'!$G$68-($I$40*'Cash Summary'!$G$57)-($I$40*'Cash Summary'!$G$57*(Inputs!$C$174*(Inputs!$C$175/12))))/Inputs!J13,"")</f>
        <v>773.12386953125008</v>
      </c>
    </row>
    <row r="62" spans="2:9">
      <c r="B62" s="138">
        <v>0.25</v>
      </c>
      <c r="C62" s="139" t="str">
        <f>IF(Inputs!$D$12,Inputs!$D$11,"")</f>
        <v>Irr Soybeans</v>
      </c>
      <c r="D62" s="137">
        <f>IF(Inputs!$D$12,Inputs!$D$18*1.25,"")</f>
        <v>14.375</v>
      </c>
      <c r="E62" s="278"/>
      <c r="F62" s="278"/>
      <c r="G62" s="283"/>
      <c r="H62" s="278"/>
      <c r="I62" s="286"/>
    </row>
    <row r="63" spans="2:9">
      <c r="B63" s="138" t="s">
        <v>229</v>
      </c>
      <c r="C63" s="139" t="str">
        <f>IF(Inputs!$E$12,Inputs!$E$11,"")</f>
        <v>Dry Corn</v>
      </c>
      <c r="D63" s="137">
        <f>IF(Inputs!$E$12,Inputs!$E$18*1.25,"")</f>
        <v>6.875</v>
      </c>
      <c r="E63" s="278"/>
      <c r="F63" s="278"/>
      <c r="G63" s="283"/>
      <c r="H63" s="278"/>
      <c r="I63" s="286"/>
    </row>
    <row r="64" spans="2:9" ht="13.5" thickBot="1">
      <c r="B64" s="151"/>
      <c r="C64" s="152" t="str">
        <f>IF(Inputs!$F$12,Inputs!$F$11,"")</f>
        <v>Dry Soybeans</v>
      </c>
      <c r="D64" s="158">
        <f>IF(Inputs!$F$12,Inputs!$F$18*1.25,"")</f>
        <v>14.375</v>
      </c>
      <c r="E64" s="279"/>
      <c r="F64" s="279"/>
      <c r="G64" s="288"/>
      <c r="H64" s="279"/>
      <c r="I64" s="287"/>
    </row>
    <row r="145" spans="5:6">
      <c r="E145" s="53" t="s">
        <v>232</v>
      </c>
      <c r="F145" s="53" t="s">
        <v>233</v>
      </c>
    </row>
    <row r="146" spans="5:6">
      <c r="E146" t="str">
        <f>Inputs!C11</f>
        <v>Irr Corn</v>
      </c>
      <c r="F146">
        <f>Inputs!C12</f>
        <v>65</v>
      </c>
    </row>
    <row r="147" spans="5:6">
      <c r="E147" t="str">
        <f>Inputs!D11</f>
        <v>Irr Soybeans</v>
      </c>
      <c r="F147">
        <f>Inputs!D12</f>
        <v>65</v>
      </c>
    </row>
    <row r="148" spans="5:6">
      <c r="E148" t="str">
        <f>Inputs!E11</f>
        <v>Dry Corn</v>
      </c>
      <c r="F148">
        <f>Inputs!E12</f>
        <v>15</v>
      </c>
    </row>
    <row r="149" spans="5:6">
      <c r="E149" t="str">
        <f>Inputs!F11</f>
        <v>Dry Soybeans</v>
      </c>
      <c r="F149">
        <f>Inputs!F12</f>
        <v>15</v>
      </c>
    </row>
  </sheetData>
  <sheetProtection password="C1B5" sheet="1" objects="1" scenarios="1"/>
  <mergeCells count="60">
    <mergeCell ref="H9:I9"/>
    <mergeCell ref="F15:F18"/>
    <mergeCell ref="G15:G18"/>
    <mergeCell ref="H15:H18"/>
    <mergeCell ref="I15:I18"/>
    <mergeCell ref="G19:G22"/>
    <mergeCell ref="E9:F9"/>
    <mergeCell ref="E15:E18"/>
    <mergeCell ref="H31:H34"/>
    <mergeCell ref="H23:H26"/>
    <mergeCell ref="I23:I26"/>
    <mergeCell ref="I19:I22"/>
    <mergeCell ref="H27:H30"/>
    <mergeCell ref="I27:I30"/>
    <mergeCell ref="I31:I34"/>
    <mergeCell ref="B54:B55"/>
    <mergeCell ref="G45:G48"/>
    <mergeCell ref="B44:C44"/>
    <mergeCell ref="E45:E48"/>
    <mergeCell ref="H19:H22"/>
    <mergeCell ref="F53:F56"/>
    <mergeCell ref="G53:G56"/>
    <mergeCell ref="H53:H56"/>
    <mergeCell ref="E49:E52"/>
    <mergeCell ref="F49:F52"/>
    <mergeCell ref="H39:I39"/>
    <mergeCell ref="E57:E60"/>
    <mergeCell ref="F57:F60"/>
    <mergeCell ref="G57:G60"/>
    <mergeCell ref="H57:H60"/>
    <mergeCell ref="E53:E56"/>
    <mergeCell ref="H45:H48"/>
    <mergeCell ref="I45:I48"/>
    <mergeCell ref="I53:I56"/>
    <mergeCell ref="G49:G52"/>
    <mergeCell ref="E27:E30"/>
    <mergeCell ref="F27:F30"/>
    <mergeCell ref="F19:F22"/>
    <mergeCell ref="G27:G30"/>
    <mergeCell ref="G31:G34"/>
    <mergeCell ref="F45:F48"/>
    <mergeCell ref="G23:G26"/>
    <mergeCell ref="I61:I64"/>
    <mergeCell ref="E61:E64"/>
    <mergeCell ref="F61:F64"/>
    <mergeCell ref="G61:G64"/>
    <mergeCell ref="H61:H64"/>
    <mergeCell ref="H49:H52"/>
    <mergeCell ref="I49:I52"/>
    <mergeCell ref="I57:I60"/>
    <mergeCell ref="D9:D10"/>
    <mergeCell ref="D39:D40"/>
    <mergeCell ref="E39:F39"/>
    <mergeCell ref="E31:E34"/>
    <mergeCell ref="F31:F34"/>
    <mergeCell ref="B14:C14"/>
    <mergeCell ref="E23:E26"/>
    <mergeCell ref="F23:F26"/>
    <mergeCell ref="B24:B25"/>
    <mergeCell ref="E19:E22"/>
  </mergeCells>
  <phoneticPr fontId="0" type="noConversion"/>
  <pageMargins left="1" right="1" top="1" bottom="1" header="0.5" footer="0.5"/>
  <pageSetup orientation="landscape" horizontalDpi="300" verticalDpi="300" r:id="rId1"/>
  <headerFooter alignWithMargins="0"/>
  <rowBreaks count="1" manualBreakCount="1">
    <brk id="35" max="16383" man="1"/>
  </rowBreaks>
  <legacyDrawing r:id="rId2"/>
</worksheet>
</file>

<file path=xl/worksheets/sheet6.xml><?xml version="1.0" encoding="utf-8"?>
<worksheet xmlns="http://schemas.openxmlformats.org/spreadsheetml/2006/main" xmlns:r="http://schemas.openxmlformats.org/officeDocument/2006/relationships">
  <sheetPr codeName="Sheet4"/>
  <dimension ref="A1:H256"/>
  <sheetViews>
    <sheetView topLeftCell="A31" zoomScaleNormal="100" workbookViewId="0">
      <selection activeCell="A2" sqref="A2"/>
    </sheetView>
  </sheetViews>
  <sheetFormatPr defaultRowHeight="12.75"/>
  <cols>
    <col min="1" max="1" width="44.28515625" customWidth="1"/>
    <col min="2" max="4" width="12.85546875" customWidth="1"/>
    <col min="5" max="5" width="13" customWidth="1"/>
    <col min="6" max="6" width="3.7109375" customWidth="1"/>
    <col min="7" max="7" width="14.28515625" customWidth="1"/>
    <col min="8" max="8" width="11.42578125" customWidth="1"/>
  </cols>
  <sheetData>
    <row r="1" spans="1:8" ht="18.75" thickBot="1">
      <c r="A1" s="292" t="s">
        <v>234</v>
      </c>
      <c r="B1" s="292"/>
      <c r="C1" s="292"/>
      <c r="D1" s="292"/>
      <c r="E1" s="292"/>
      <c r="F1" s="292"/>
      <c r="G1" s="292"/>
      <c r="H1" s="292"/>
    </row>
    <row r="2" spans="1:8">
      <c r="A2" s="10"/>
      <c r="B2" s="10"/>
      <c r="D2" s="10"/>
    </row>
    <row r="3" spans="1:8" ht="15">
      <c r="A3" s="93" t="str">
        <f>Inputs!B4</f>
        <v>Average Joe Landowner</v>
      </c>
      <c r="D3" s="39"/>
      <c r="H3" s="15"/>
    </row>
    <row r="4" spans="1:8" ht="15">
      <c r="A4" s="93" t="str">
        <f>Inputs!B9</f>
        <v>Pivot Irrigated Quarter Section with Dryland Corners</v>
      </c>
      <c r="D4" s="39"/>
      <c r="H4" s="15"/>
    </row>
    <row r="5" spans="1:8">
      <c r="A5" s="11"/>
      <c r="H5" s="15"/>
    </row>
    <row r="6" spans="1:8" ht="13.5" thickBot="1">
      <c r="A6" s="94" t="s">
        <v>22</v>
      </c>
      <c r="B6" s="95" t="str">
        <f>IF(Inputs!$C$12,Inputs!$C$11,"")</f>
        <v>Irr Corn</v>
      </c>
      <c r="C6" s="95" t="str">
        <f>IF(Inputs!$D$12,Inputs!$D$11,"")</f>
        <v>Irr Soybeans</v>
      </c>
      <c r="D6" s="95" t="str">
        <f>IF(Inputs!$E$12,Inputs!$E$11,"")</f>
        <v>Dry Corn</v>
      </c>
      <c r="E6" s="95" t="str">
        <f>IF(Inputs!$F$12,Inputs!$F$11,"")</f>
        <v>Dry Soybeans</v>
      </c>
      <c r="F6" s="95"/>
      <c r="G6" s="95" t="s">
        <v>23</v>
      </c>
      <c r="H6" s="101"/>
    </row>
    <row r="7" spans="1:8">
      <c r="A7" s="11" t="s">
        <v>189</v>
      </c>
      <c r="B7" s="68">
        <f>IF(Inputs!C12,Inputs!$C$12,"")</f>
        <v>65</v>
      </c>
      <c r="C7" s="68">
        <f>IF(Inputs!D12,Inputs!$D$12,"")</f>
        <v>65</v>
      </c>
      <c r="D7" s="68">
        <f>IF(Inputs!E12,Inputs!$E$12,"")</f>
        <v>15</v>
      </c>
      <c r="E7" s="68">
        <f>IF(Inputs!F12,Inputs!$F$12,"")</f>
        <v>15</v>
      </c>
      <c r="F7" s="68"/>
      <c r="G7" s="68">
        <f>IF(Inputs!J12,SUM(B7:E7),"")</f>
        <v>160</v>
      </c>
      <c r="H7" s="96" t="s">
        <v>28</v>
      </c>
    </row>
    <row r="8" spans="1:8">
      <c r="A8" s="27"/>
      <c r="B8" s="26"/>
      <c r="C8" s="26"/>
      <c r="D8" s="26"/>
      <c r="E8" s="26"/>
      <c r="F8" s="26"/>
      <c r="G8" s="26"/>
      <c r="H8" s="96"/>
    </row>
    <row r="9" spans="1:8" ht="13.5" thickBot="1">
      <c r="A9" s="97" t="s">
        <v>235</v>
      </c>
      <c r="B9" s="95" t="str">
        <f>IF(Inputs!$C$12,Inputs!$C$11,"")</f>
        <v>Irr Corn</v>
      </c>
      <c r="C9" s="95" t="str">
        <f>IF(Inputs!$D$12,Inputs!$D$11,"")</f>
        <v>Irr Soybeans</v>
      </c>
      <c r="D9" s="95" t="str">
        <f>IF(Inputs!$E$12,Inputs!$E$11,"")</f>
        <v>Dry Corn</v>
      </c>
      <c r="E9" s="95" t="str">
        <f>IF(Inputs!$F$12,Inputs!$F$11,"")</f>
        <v>Dry Soybeans</v>
      </c>
      <c r="F9" s="98"/>
      <c r="G9" s="95" t="s">
        <v>23</v>
      </c>
      <c r="H9" s="95" t="s">
        <v>288</v>
      </c>
    </row>
    <row r="10" spans="1:8">
      <c r="A10" t="s">
        <v>201</v>
      </c>
      <c r="B10" s="110">
        <f>IF(Inputs!C12,Inputs!C17*Shares!C116,"")</f>
        <v>110</v>
      </c>
      <c r="C10" s="110">
        <f>IF(Inputs!D12,Inputs!D17*Shares!D116,"")</f>
        <v>30</v>
      </c>
      <c r="D10" s="110">
        <f>IF(Inputs!E12,Inputs!E17*Shares!E116,"")</f>
        <v>70</v>
      </c>
      <c r="E10" s="110">
        <f>IF(Inputs!F12,Inputs!F17*Shares!F116,"")</f>
        <v>22.5</v>
      </c>
      <c r="F10" s="37"/>
      <c r="G10" s="96" t="s">
        <v>28</v>
      </c>
      <c r="H10" s="96" t="s">
        <v>28</v>
      </c>
    </row>
    <row r="11" spans="1:8">
      <c r="A11" t="s">
        <v>202</v>
      </c>
      <c r="B11" s="37">
        <f>IF(Inputs!C12,Inputs!C18,"")</f>
        <v>5.5</v>
      </c>
      <c r="C11" s="37">
        <f>IF(Inputs!D12,Inputs!D18,"")</f>
        <v>11.5</v>
      </c>
      <c r="D11" s="37">
        <f>IF(Inputs!E12,Inputs!E18,"")</f>
        <v>5.5</v>
      </c>
      <c r="E11" s="37">
        <f>IF(Inputs!F12,Inputs!F18,"")</f>
        <v>11.5</v>
      </c>
      <c r="F11" s="37"/>
      <c r="G11" s="96" t="s">
        <v>28</v>
      </c>
      <c r="H11" s="96" t="s">
        <v>28</v>
      </c>
    </row>
    <row r="12" spans="1:8">
      <c r="A12" s="11" t="s">
        <v>30</v>
      </c>
      <c r="B12" s="44">
        <f>IF(Inputs!C12,B10*B11,"")</f>
        <v>605</v>
      </c>
      <c r="C12" s="44">
        <f>IF(Inputs!D12,C10*C11,"")</f>
        <v>345</v>
      </c>
      <c r="D12" s="44">
        <f>IF(Inputs!E12,D10*D11,"")</f>
        <v>385</v>
      </c>
      <c r="E12" s="44">
        <f>IF(Inputs!F12,E10*E11,"")</f>
        <v>258.75</v>
      </c>
      <c r="F12" s="37"/>
      <c r="G12" s="44">
        <f>IF(Inputs!$J$12,SUMPRODUCT($B$7:$E$7,B12:E12),"")</f>
        <v>71406.25</v>
      </c>
      <c r="H12" s="44">
        <f>IF(Inputs!$J$12,G12/Inputs!$J$13,"")</f>
        <v>446.2890625</v>
      </c>
    </row>
    <row r="13" spans="1:8">
      <c r="A13" s="45" t="s">
        <v>236</v>
      </c>
      <c r="B13" s="46">
        <f>IF(Inputs!C12,Inputs!C119,"")</f>
        <v>0</v>
      </c>
      <c r="C13" s="46">
        <f>IF(Inputs!D12,Inputs!D119,"")</f>
        <v>0</v>
      </c>
      <c r="D13" s="46">
        <f>IF(Inputs!E12,Inputs!E119,"")</f>
        <v>0</v>
      </c>
      <c r="E13" s="46">
        <f>IF(Inputs!F12,Inputs!F119,"")</f>
        <v>0</v>
      </c>
      <c r="F13" s="37"/>
      <c r="G13" s="46">
        <f>IF(Inputs!$J$12,SUMPRODUCT($B$7:$E$7,B13:E13),"")</f>
        <v>0</v>
      </c>
      <c r="H13" s="46">
        <f>IF(Inputs!$J$12,G13/Inputs!$J$13,"")</f>
        <v>0</v>
      </c>
    </row>
    <row r="14" spans="1:8">
      <c r="A14" t="s">
        <v>159</v>
      </c>
      <c r="B14" s="37">
        <f>IF(Inputs!C12,Inputs!C20*Shares!C117,"")</f>
        <v>10</v>
      </c>
      <c r="C14" s="37">
        <f>IF(Inputs!D12,Inputs!D20*Shares!D117,"")</f>
        <v>10</v>
      </c>
      <c r="D14" s="37">
        <f>IF(Inputs!E12,Inputs!E20*Shares!E117,"")</f>
        <v>6</v>
      </c>
      <c r="E14" s="37">
        <f>IF(Inputs!F12,Inputs!F20*Shares!F117,"")</f>
        <v>6</v>
      </c>
      <c r="F14" s="37"/>
      <c r="G14" s="46">
        <f>IF(Inputs!$J$12,SUMPRODUCT($B$7:$E$7,B14:E14),"")</f>
        <v>1480</v>
      </c>
      <c r="H14" s="46">
        <f>IF(Inputs!$J$12,G14/Inputs!$J$13,"")</f>
        <v>9.25</v>
      </c>
    </row>
    <row r="15" spans="1:8">
      <c r="A15" s="18" t="str">
        <f>Inputs!A21</f>
        <v xml:space="preserve">   Other Income per Acre</v>
      </c>
      <c r="B15" s="37">
        <f>IF(Inputs!C12,Inputs!C21*Shares!C118,"")</f>
        <v>0</v>
      </c>
      <c r="C15" s="37">
        <f>IF(Inputs!D12,Inputs!D21*Shares!D118,"")</f>
        <v>0</v>
      </c>
      <c r="D15" s="37">
        <f>IF(Inputs!E12,Inputs!E21*Shares!E118,"")</f>
        <v>0</v>
      </c>
      <c r="E15" s="37">
        <f>IF(Inputs!F12,Inputs!F21*Shares!F118,"")</f>
        <v>0</v>
      </c>
      <c r="F15" s="37"/>
      <c r="G15" s="46">
        <f>IF(Inputs!$J$12,SUMPRODUCT($B$7:$E$7,B15:E15),"")</f>
        <v>0</v>
      </c>
      <c r="H15" s="46">
        <f>IF(Inputs!$J$12,G15/Inputs!$J$13,"")</f>
        <v>0</v>
      </c>
    </row>
    <row r="16" spans="1:8">
      <c r="A16" s="11" t="s">
        <v>33</v>
      </c>
      <c r="B16" s="44">
        <f>IF(Inputs!C12,SUM(B12:B15),"")</f>
        <v>615</v>
      </c>
      <c r="C16" s="44">
        <f>IF(Inputs!D12,SUM(C12:C15),"")</f>
        <v>355</v>
      </c>
      <c r="D16" s="44">
        <f>IF(Inputs!E12,SUM(D12:D15),"")</f>
        <v>391</v>
      </c>
      <c r="E16" s="44">
        <f>IF(Inputs!F12,SUM(E12:E15),"")</f>
        <v>264.75</v>
      </c>
      <c r="F16" s="44"/>
      <c r="G16" s="44">
        <f>IF(Inputs!$J$12,SUMPRODUCT($B$7:$E$7,B16:E16),"")</f>
        <v>72886.25</v>
      </c>
      <c r="H16" s="44">
        <f>IF(Inputs!$J$12,G16/Inputs!$J$13,"")</f>
        <v>455.5390625</v>
      </c>
    </row>
    <row r="17" spans="1:8">
      <c r="A17" s="11"/>
      <c r="B17" s="44"/>
      <c r="C17" s="44"/>
      <c r="D17" s="44"/>
      <c r="E17" s="44"/>
      <c r="F17" s="44"/>
      <c r="G17" s="44"/>
      <c r="H17" s="44"/>
    </row>
    <row r="18" spans="1:8" ht="13.5" thickBot="1">
      <c r="A18" s="97" t="s">
        <v>237</v>
      </c>
      <c r="B18" s="95" t="str">
        <f>IF(Inputs!$C$12,Inputs!$C$11,"")</f>
        <v>Irr Corn</v>
      </c>
      <c r="C18" s="95" t="str">
        <f>IF(Inputs!$D$12,Inputs!$D$11,"")</f>
        <v>Irr Soybeans</v>
      </c>
      <c r="D18" s="95" t="str">
        <f>IF(Inputs!$E$12,Inputs!$E$11,"")</f>
        <v>Dry Corn</v>
      </c>
      <c r="E18" s="95" t="str">
        <f>IF(Inputs!$F$12,Inputs!$F$11,"")</f>
        <v>Dry Soybeans</v>
      </c>
      <c r="F18" s="98"/>
      <c r="G18" s="95" t="s">
        <v>23</v>
      </c>
      <c r="H18" s="95" t="s">
        <v>288</v>
      </c>
    </row>
    <row r="19" spans="1:8">
      <c r="A19" t="s">
        <v>161</v>
      </c>
      <c r="B19" s="37">
        <f>IF(Inputs!C12,Inputs!C29*Shares!C121,"")</f>
        <v>0</v>
      </c>
      <c r="C19" s="37">
        <f>IF(Inputs!D12,Inputs!D29*Shares!D121,"")</f>
        <v>0</v>
      </c>
      <c r="D19" s="37">
        <f>IF(Inputs!E12,Inputs!E29*Shares!E121,"")</f>
        <v>0</v>
      </c>
      <c r="E19" s="37">
        <f>IF(Inputs!F12,Inputs!F29*Shares!F121,"")</f>
        <v>0</v>
      </c>
      <c r="F19" s="26"/>
      <c r="G19" s="46">
        <f>IF(Inputs!$J$12,SUMPRODUCT($B$7:$E$7,B19:E19),"")</f>
        <v>0</v>
      </c>
      <c r="H19" s="46">
        <f>IF(Inputs!$J$12,G19/Inputs!$J$13,"")</f>
        <v>0</v>
      </c>
    </row>
    <row r="20" spans="1:8">
      <c r="A20" t="s">
        <v>162</v>
      </c>
      <c r="B20" s="37">
        <f>IF(Inputs!C12,Inputs!C38*Shares!C122,"")</f>
        <v>54.5</v>
      </c>
      <c r="C20" s="37">
        <f>IF(Inputs!D12,Inputs!D38*Shares!D122,"")</f>
        <v>0</v>
      </c>
      <c r="D20" s="37">
        <f>IF(Inputs!E12,Inputs!E38*Shares!E122,"")</f>
        <v>32.5</v>
      </c>
      <c r="E20" s="37">
        <f>IF(Inputs!F12,Inputs!F38*Shares!F122,"")</f>
        <v>0</v>
      </c>
      <c r="F20" s="26"/>
      <c r="G20" s="46">
        <f>IF(Inputs!$J$12,SUMPRODUCT($B$7:$E$7,B20:E20),"")</f>
        <v>4030</v>
      </c>
      <c r="H20" s="46">
        <f>IF(Inputs!$J$12,G20/Inputs!$J$13,"")</f>
        <v>25.1875</v>
      </c>
    </row>
    <row r="21" spans="1:8">
      <c r="A21" t="s">
        <v>163</v>
      </c>
      <c r="B21" s="37">
        <f>IF(Inputs!C12,Inputs!C49*Shares!C123,"")</f>
        <v>0</v>
      </c>
      <c r="C21" s="37">
        <f>IF(Inputs!D12,Inputs!D49*Shares!D123,"")</f>
        <v>0</v>
      </c>
      <c r="D21" s="37">
        <f>IF(Inputs!E12,Inputs!E49*Shares!E123,"")</f>
        <v>0</v>
      </c>
      <c r="E21" s="37">
        <f>IF(Inputs!F12,Inputs!F49*Shares!F123,"")</f>
        <v>0</v>
      </c>
      <c r="F21" s="26"/>
      <c r="G21" s="46">
        <f>IF(Inputs!$J$12,SUMPRODUCT($B$7:$E$7,B21:E21),"")</f>
        <v>0</v>
      </c>
      <c r="H21" s="46">
        <f>IF(Inputs!$J$12,G21/Inputs!$J$13,"")</f>
        <v>0</v>
      </c>
    </row>
    <row r="22" spans="1:8">
      <c r="A22" t="s">
        <v>164</v>
      </c>
      <c r="B22" s="37">
        <f>IF(Inputs!C12,Inputs!C57*Shares!C124,"")</f>
        <v>0</v>
      </c>
      <c r="C22" s="37">
        <f>IF(Inputs!D12,Inputs!D57*Shares!D124,"")</f>
        <v>1.875</v>
      </c>
      <c r="D22" s="37">
        <f>IF(Inputs!E12,Inputs!E57*Shares!E124,"")</f>
        <v>0</v>
      </c>
      <c r="E22" s="37">
        <f>IF(Inputs!F12,Inputs!F57*Shares!F124,"")</f>
        <v>1.875</v>
      </c>
      <c r="F22" s="26"/>
      <c r="G22" s="46">
        <f>IF(Inputs!$J$12,SUMPRODUCT($B$7:$E$7,B22:E22),"")</f>
        <v>150</v>
      </c>
      <c r="H22" s="46">
        <f>IF(Inputs!$J$12,G22/Inputs!$J$13,"")</f>
        <v>0.9375</v>
      </c>
    </row>
    <row r="23" spans="1:8">
      <c r="A23" t="s">
        <v>165</v>
      </c>
      <c r="B23" s="37">
        <f>IF(Inputs!C12,Inputs!C64*Shares!C125,"")</f>
        <v>15</v>
      </c>
      <c r="C23" s="37">
        <f>IF(Inputs!D12,Inputs!D64*Shares!D125,"")</f>
        <v>9.5</v>
      </c>
      <c r="D23" s="37">
        <f>IF(Inputs!E12,Inputs!E64*Shares!E125,"")</f>
        <v>9.5</v>
      </c>
      <c r="E23" s="37">
        <f>IF(Inputs!F12,Inputs!F64*Shares!F125,"")</f>
        <v>7</v>
      </c>
      <c r="F23" s="26"/>
      <c r="G23" s="46">
        <f>IF(Inputs!$J$12,SUMPRODUCT($B$7:$E$7,B23:E23),"")</f>
        <v>1840</v>
      </c>
      <c r="H23" s="46">
        <f>IF(Inputs!$J$12,G23/Inputs!$J$13,"")</f>
        <v>11.5</v>
      </c>
    </row>
    <row r="24" spans="1:8">
      <c r="A24" t="s">
        <v>166</v>
      </c>
      <c r="B24" s="37">
        <f>IF(Inputs!C12,Inputs!C68*Shares!C126,"")</f>
        <v>4.375</v>
      </c>
      <c r="C24" s="37">
        <f>IF(Inputs!D12,Inputs!D68*Shares!D126,"")</f>
        <v>4</v>
      </c>
      <c r="D24" s="37">
        <f>IF(Inputs!E12,Inputs!E68*Shares!E126,"")</f>
        <v>0</v>
      </c>
      <c r="E24" s="37">
        <f>IF(Inputs!F12,Inputs!F68*Shares!F126,"")</f>
        <v>0</v>
      </c>
      <c r="F24" s="26"/>
      <c r="G24" s="46">
        <f>IF(Inputs!$J$12,SUMPRODUCT($B$7:$E$7,B24:E24),"")</f>
        <v>544.375</v>
      </c>
      <c r="H24" s="46">
        <f>IF(Inputs!$J$12,G24/Inputs!$J$13,"")</f>
        <v>3.40234375</v>
      </c>
    </row>
    <row r="25" spans="1:8">
      <c r="A25" t="s">
        <v>167</v>
      </c>
      <c r="B25" s="37">
        <f>IF(Inputs!C12,Inputs!C85*Shares!C127,"")</f>
        <v>0</v>
      </c>
      <c r="C25" s="37">
        <f>IF(Inputs!D12,Inputs!D85*Shares!D127,"")</f>
        <v>0</v>
      </c>
      <c r="D25" s="37">
        <f>IF(Inputs!E12,Inputs!E85*Shares!E127,"")</f>
        <v>0</v>
      </c>
      <c r="E25" s="37">
        <f>IF(Inputs!F12,Inputs!F85*Shares!F127,"")</f>
        <v>0</v>
      </c>
      <c r="F25" s="26"/>
      <c r="G25" s="46">
        <f>IF(Inputs!$J$12,SUMPRODUCT($B$7:$E$7,B25:E25),"")</f>
        <v>0</v>
      </c>
      <c r="H25" s="46">
        <f>IF(Inputs!$J$12,G25/Inputs!$J$13,"")</f>
        <v>0</v>
      </c>
    </row>
    <row r="26" spans="1:8">
      <c r="A26" t="s">
        <v>168</v>
      </c>
      <c r="B26" s="37">
        <f>IF(Inputs!C12,Inputs!C92*Shares!C128,"")</f>
        <v>0</v>
      </c>
      <c r="C26" s="37">
        <f>IF(Inputs!D12,Inputs!D92*Shares!D128,"")</f>
        <v>0</v>
      </c>
      <c r="D26" s="37">
        <f>IF(Inputs!E12,Inputs!E92*Shares!E128,"")</f>
        <v>0</v>
      </c>
      <c r="E26" s="37">
        <f>IF(Inputs!F12,Inputs!F92*Shares!F128,"")</f>
        <v>0</v>
      </c>
      <c r="F26" s="26"/>
      <c r="G26" s="46">
        <f>IF(Inputs!$J$12,SUMPRODUCT($B$7:$E$7,B26:E26),"")</f>
        <v>0</v>
      </c>
      <c r="H26" s="46">
        <f>IF(Inputs!$J$12,G26/Inputs!$J$13,"")</f>
        <v>0</v>
      </c>
    </row>
    <row r="27" spans="1:8">
      <c r="A27" t="s">
        <v>169</v>
      </c>
      <c r="B27" s="37">
        <f>IF(Inputs!C12,Inputs!C97*Shares!C129,"")</f>
        <v>27.900000000000002</v>
      </c>
      <c r="C27" s="37">
        <f>IF(Inputs!D12,Inputs!D97*Shares!D129,"")</f>
        <v>25.2</v>
      </c>
      <c r="D27" s="37">
        <f>IF(Inputs!E12,Inputs!E97*Shares!E129,"")</f>
        <v>0</v>
      </c>
      <c r="E27" s="37">
        <f>IF(Inputs!F12,Inputs!F97*Shares!F129,"")</f>
        <v>0</v>
      </c>
      <c r="F27" s="26"/>
      <c r="G27" s="46">
        <f>IF(Inputs!$J$12,SUMPRODUCT($B$7:$E$7,B27:E27),"")</f>
        <v>3451.5</v>
      </c>
      <c r="H27" s="46">
        <f>IF(Inputs!$J$12,G27/Inputs!$J$13,"")</f>
        <v>21.571874999999999</v>
      </c>
    </row>
    <row r="28" spans="1:8">
      <c r="A28" t="s">
        <v>304</v>
      </c>
      <c r="B28" s="37">
        <f>IF(Inputs!C12,Inputs!C104*Shares!C130,"")</f>
        <v>0</v>
      </c>
      <c r="C28" s="37">
        <f>IF(Inputs!D12,Inputs!D104*Shares!D130,"")</f>
        <v>0</v>
      </c>
      <c r="D28" s="37">
        <f>IF(Inputs!E12,Inputs!E104*Shares!E130,"")</f>
        <v>0</v>
      </c>
      <c r="E28" s="37">
        <f>IF(Inputs!F12,Inputs!F104*Shares!F130,"")</f>
        <v>0</v>
      </c>
      <c r="F28" s="26"/>
      <c r="G28" s="46">
        <f>IF(Inputs!$J$12,SUMPRODUCT($B$7:$E$7,B28:E28),"")</f>
        <v>0</v>
      </c>
      <c r="H28" s="46">
        <f>IF(Inputs!$J$12,G28/Inputs!$J$13,"")</f>
        <v>0</v>
      </c>
    </row>
    <row r="29" spans="1:8">
      <c r="A29" t="s">
        <v>170</v>
      </c>
      <c r="B29" s="37">
        <f>IF(Inputs!C12,Inputs!C111*Shares!C131,"")</f>
        <v>22</v>
      </c>
      <c r="C29" s="37">
        <f>IF(Inputs!D12,Inputs!D111*Shares!D131,"")</f>
        <v>5.0999999999999996</v>
      </c>
      <c r="D29" s="37">
        <f>IF(Inputs!E12,Inputs!E111*Shares!E131,"")</f>
        <v>14</v>
      </c>
      <c r="E29" s="37">
        <f>IF(Inputs!F12,Inputs!F111*Shares!F131,"")</f>
        <v>3.8249999999999997</v>
      </c>
      <c r="F29" s="26"/>
      <c r="G29" s="46">
        <f>IF(Inputs!$J$12,SUMPRODUCT($B$7:$E$7,B29:E29),"")</f>
        <v>2028.875</v>
      </c>
      <c r="H29" s="46">
        <f>IF(Inputs!$J$12,G29/Inputs!$J$13,"")</f>
        <v>12.680468749999999</v>
      </c>
    </row>
    <row r="30" spans="1:8">
      <c r="A30" t="s">
        <v>205</v>
      </c>
      <c r="B30" s="37">
        <f>IF(Inputs!C12,B235,"")</f>
        <v>3.7132499999999999</v>
      </c>
      <c r="C30" s="37">
        <f>IF(Inputs!D12,C235,"")</f>
        <v>1.37025</v>
      </c>
      <c r="D30" s="37">
        <f>IF(Inputs!E12,D235,"")</f>
        <v>1.68</v>
      </c>
      <c r="E30" s="37">
        <f>IF(Inputs!F12,E235,"")</f>
        <v>0.38099999999999995</v>
      </c>
      <c r="F30" s="26"/>
      <c r="G30" s="46">
        <f>IF(Inputs!$J$12,SUMPRODUCT($B$7:$E$7,B30:E30),"")</f>
        <v>361.34249999999997</v>
      </c>
      <c r="H30" s="46">
        <f>IF(Inputs!$J$12,G30/Inputs!$J$13,"")</f>
        <v>2.2583906249999997</v>
      </c>
    </row>
    <row r="31" spans="1:8">
      <c r="A31" s="11" t="s">
        <v>206</v>
      </c>
      <c r="B31" s="44">
        <f>IF(Inputs!C12,SUM(B19:B30),"")</f>
        <v>127.48825000000001</v>
      </c>
      <c r="C31" s="44">
        <f>IF(Inputs!D12,SUM(C19:C30),"")</f>
        <v>47.045250000000003</v>
      </c>
      <c r="D31" s="44">
        <f>IF(Inputs!E12,SUM(D19:D30),"")</f>
        <v>57.68</v>
      </c>
      <c r="E31" s="44">
        <f>IF(Inputs!F12,SUM(E19:E30),"")</f>
        <v>13.081</v>
      </c>
      <c r="F31" s="44"/>
      <c r="G31" s="44">
        <f>IF(Inputs!$J$12,SUMPRODUCT($B$7:$E$7,B31:E31),"")</f>
        <v>12406.092500000001</v>
      </c>
      <c r="H31" s="44">
        <f>IF(Inputs!$J$12,G31/Inputs!$J$13,"")</f>
        <v>77.538078124999998</v>
      </c>
    </row>
    <row r="32" spans="1:8">
      <c r="A32" s="11"/>
      <c r="B32" s="44"/>
      <c r="C32" s="44"/>
      <c r="D32" s="44"/>
      <c r="E32" s="44"/>
      <c r="F32" s="44"/>
      <c r="G32" s="44"/>
      <c r="H32" s="44"/>
    </row>
    <row r="33" spans="1:8" ht="13.5" thickBot="1">
      <c r="A33" s="97" t="s">
        <v>238</v>
      </c>
      <c r="B33" s="95" t="str">
        <f>IF(Inputs!$C$12,Inputs!$C$11,"")</f>
        <v>Irr Corn</v>
      </c>
      <c r="C33" s="95" t="str">
        <f>IF(Inputs!$D$12,Inputs!$D$11,"")</f>
        <v>Irr Soybeans</v>
      </c>
      <c r="D33" s="95" t="str">
        <f>IF(Inputs!$E$12,Inputs!$E$11,"")</f>
        <v>Dry Corn</v>
      </c>
      <c r="E33" s="95" t="str">
        <f>IF(Inputs!$F$12,Inputs!$F$11,"")</f>
        <v>Dry Soybeans</v>
      </c>
      <c r="F33" s="98"/>
      <c r="G33" s="95" t="s">
        <v>23</v>
      </c>
      <c r="H33" s="95" t="s">
        <v>288</v>
      </c>
    </row>
    <row r="34" spans="1:8">
      <c r="A34" t="s">
        <v>193</v>
      </c>
      <c r="B34" s="37">
        <f>IF(Inputs!C12,Inputs!C125,"")</f>
        <v>38</v>
      </c>
      <c r="C34" s="37">
        <f>IF(Inputs!D12,Inputs!D125,"")</f>
        <v>38</v>
      </c>
      <c r="D34" s="37">
        <f>IF(Inputs!E12,Inputs!E125,"")</f>
        <v>28</v>
      </c>
      <c r="E34" s="37">
        <f>IF(Inputs!F12,Inputs!F125,"")</f>
        <v>28</v>
      </c>
      <c r="F34" s="26"/>
      <c r="G34" s="46">
        <f>IF(Inputs!$J$12,SUMPRODUCT($B$7:$E$7,B34:E34),"")</f>
        <v>5780</v>
      </c>
      <c r="H34" s="46">
        <f>IF(Inputs!$J$12,G34/Inputs!$J$13,"")</f>
        <v>36.125</v>
      </c>
    </row>
    <row r="35" spans="1:8">
      <c r="A35" s="45" t="s">
        <v>194</v>
      </c>
      <c r="B35" s="37">
        <f>IF(Inputs!C12,Inputs!C129*Shares!C134,"")</f>
        <v>0</v>
      </c>
      <c r="C35" s="37">
        <f>IF(Inputs!D12,Inputs!D129*Shares!D134,"")</f>
        <v>0</v>
      </c>
      <c r="D35" s="37">
        <f>IF(Inputs!E12,Inputs!E129*Shares!E134,"")</f>
        <v>0</v>
      </c>
      <c r="E35" s="37">
        <f>IF(Inputs!F12,Inputs!F129*Shares!F134,"")</f>
        <v>0</v>
      </c>
      <c r="F35" s="26"/>
      <c r="G35" s="46">
        <f>IF(Inputs!$J$12,SUMPRODUCT($B$7:$E$7,B35:E35),"")</f>
        <v>0</v>
      </c>
      <c r="H35" s="46">
        <f>IF(Inputs!$J$12,G35/Inputs!$J$13,"")</f>
        <v>0</v>
      </c>
    </row>
    <row r="36" spans="1:8">
      <c r="A36" t="s">
        <v>167</v>
      </c>
      <c r="B36" s="37">
        <f>IF(Inputs!C12,Inputs!C146*Shares!C135,"")</f>
        <v>0</v>
      </c>
      <c r="C36" s="37">
        <f>IF(Inputs!D12,Inputs!D146*Shares!D135,"")</f>
        <v>0</v>
      </c>
      <c r="D36" s="37">
        <f>IF(Inputs!E12,Inputs!E146*Shares!E135,"")</f>
        <v>0</v>
      </c>
      <c r="E36" s="37">
        <f>IF(Inputs!F12,Inputs!F146*Shares!F135,"")</f>
        <v>0</v>
      </c>
      <c r="F36" s="26"/>
      <c r="G36" s="46">
        <f>IF(Inputs!$J$12,SUMPRODUCT($B$7:$E$7,B36:E36),"")</f>
        <v>0</v>
      </c>
      <c r="H36" s="46">
        <f>IF(Inputs!$J$12,G36/Inputs!$J$13,"")</f>
        <v>0</v>
      </c>
    </row>
    <row r="37" spans="1:8">
      <c r="A37" t="s">
        <v>169</v>
      </c>
      <c r="B37" s="37">
        <f>IF(Inputs!C12,Inputs!C269,"")</f>
        <v>62.063186813186817</v>
      </c>
      <c r="C37" s="37">
        <f>IF(Inputs!D12,Inputs!D269,"")</f>
        <v>62.063186813186817</v>
      </c>
      <c r="D37" s="37">
        <f>IF(Inputs!E12,Inputs!E269,"")</f>
        <v>0</v>
      </c>
      <c r="E37" s="37">
        <f>IF(Inputs!F12,Inputs!F269,"")</f>
        <v>0</v>
      </c>
      <c r="F37" s="26"/>
      <c r="G37" s="46">
        <f>IF(Inputs!$J$12,SUMPRODUCT($B$7:$E$7,B37:E37),"")</f>
        <v>8068.2142857142862</v>
      </c>
      <c r="H37" s="46">
        <f>IF(Inputs!$J$12,G37/Inputs!$J$13,"")</f>
        <v>50.426339285714292</v>
      </c>
    </row>
    <row r="38" spans="1:8">
      <c r="A38" s="11" t="s">
        <v>195</v>
      </c>
      <c r="B38" s="44">
        <f>IF(Inputs!C12,SUM(B34:B37),"")</f>
        <v>100.06318681318682</v>
      </c>
      <c r="C38" s="44">
        <f>IF(Inputs!D12,SUM(C34:C37),"")</f>
        <v>100.06318681318682</v>
      </c>
      <c r="D38" s="44">
        <f>IF(Inputs!E12,SUM(D34:D37),"")</f>
        <v>28</v>
      </c>
      <c r="E38" s="44">
        <f>IF(Inputs!F12,SUM(E34:E37),"")</f>
        <v>28</v>
      </c>
      <c r="F38" s="44"/>
      <c r="G38" s="44">
        <f>IF(Inputs!$J$12,SUMPRODUCT($B$7:$E$7,B38:E38),"")</f>
        <v>13848.214285714286</v>
      </c>
      <c r="H38" s="44">
        <f>IF(Inputs!$J$12,G38/Inputs!$J$13,"")</f>
        <v>86.551339285714292</v>
      </c>
    </row>
    <row r="39" spans="1:8">
      <c r="A39" s="11"/>
      <c r="B39" s="44"/>
      <c r="C39" s="44"/>
      <c r="D39" s="44"/>
      <c r="E39" s="44"/>
      <c r="F39" s="44"/>
      <c r="G39" s="44"/>
      <c r="H39" s="44"/>
    </row>
    <row r="40" spans="1:8" ht="13.5" thickBot="1">
      <c r="A40" s="97" t="s">
        <v>239</v>
      </c>
      <c r="B40" s="95" t="str">
        <f>IF(Inputs!$C$12,Inputs!$C$11,"")</f>
        <v>Irr Corn</v>
      </c>
      <c r="C40" s="95" t="str">
        <f>IF(Inputs!$D$12,Inputs!$D$11,"")</f>
        <v>Irr Soybeans</v>
      </c>
      <c r="D40" s="95" t="str">
        <f>IF(Inputs!$E$12,Inputs!$E$11,"")</f>
        <v>Dry Corn</v>
      </c>
      <c r="E40" s="95" t="str">
        <f>IF(Inputs!$F$12,Inputs!$F$11,"")</f>
        <v>Dry Soybeans</v>
      </c>
      <c r="F40" s="98"/>
      <c r="G40" s="95" t="s">
        <v>23</v>
      </c>
      <c r="H40" s="95" t="s">
        <v>288</v>
      </c>
    </row>
    <row r="41" spans="1:8">
      <c r="A41" s="45" t="s">
        <v>289</v>
      </c>
      <c r="B41" s="46">
        <f>IF(Inputs!C12,B31+B38,"")</f>
        <v>227.55143681318683</v>
      </c>
      <c r="C41" s="46">
        <f>IF(Inputs!D12,C31+C38,"")</f>
        <v>147.10843681318681</v>
      </c>
      <c r="D41" s="46">
        <f>IF(Inputs!E12,D31+D38,"")</f>
        <v>85.68</v>
      </c>
      <c r="E41" s="46">
        <f>IF(Inputs!F12,E31+E38,"")</f>
        <v>41.081000000000003</v>
      </c>
      <c r="F41" s="46"/>
      <c r="G41" s="46">
        <f>IF(Inputs!J12,G31+G38,"")</f>
        <v>26254.306785714289</v>
      </c>
      <c r="H41" s="46">
        <f>IF(Inputs!$J$12,G41/Inputs!$J$13,"")</f>
        <v>164.0894174107143</v>
      </c>
    </row>
    <row r="42" spans="1:8">
      <c r="A42" s="45" t="s">
        <v>291</v>
      </c>
      <c r="B42" s="46">
        <f>IF(Inputs!C12,B16-B31,"")</f>
        <v>487.51175000000001</v>
      </c>
      <c r="C42" s="46">
        <f>IF(Inputs!D12,C16-C31,"")</f>
        <v>307.95474999999999</v>
      </c>
      <c r="D42" s="46">
        <f>IF(Inputs!E12,D16-D31,"")</f>
        <v>333.32</v>
      </c>
      <c r="E42" s="46">
        <f>IF(Inputs!F12,E16-E31,"")</f>
        <v>251.66900000000001</v>
      </c>
      <c r="F42" s="46"/>
      <c r="G42" s="46">
        <f>IF(Inputs!J12,G16-G31,"")</f>
        <v>60480.157500000001</v>
      </c>
      <c r="H42" s="46">
        <f>IF(Inputs!$J$12,G42/Inputs!$J$13,"")</f>
        <v>378.00098437500003</v>
      </c>
    </row>
    <row r="43" spans="1:8">
      <c r="A43" s="11" t="s">
        <v>197</v>
      </c>
      <c r="B43" s="44">
        <f>IF(Inputs!C12,B16-B31-B38,"")</f>
        <v>387.4485631868132</v>
      </c>
      <c r="C43" s="44">
        <f>IF(Inputs!D12,C16-C31-C38,"")</f>
        <v>207.89156318681319</v>
      </c>
      <c r="D43" s="44">
        <f>IF(Inputs!E12,D16-D31-D38,"")</f>
        <v>305.32</v>
      </c>
      <c r="E43" s="44">
        <f>IF(Inputs!F12,E16-E31-E38,"")</f>
        <v>223.66900000000001</v>
      </c>
      <c r="F43" s="44"/>
      <c r="G43" s="44">
        <f>IF(Inputs!J12,G16-G31-G38,"")</f>
        <v>46631.943214285711</v>
      </c>
      <c r="H43" s="44">
        <f>IF(Inputs!$J$12,G43/Inputs!$J$13,"")</f>
        <v>291.4496450892857</v>
      </c>
    </row>
    <row r="44" spans="1:8">
      <c r="A44" s="10"/>
      <c r="B44" s="159"/>
      <c r="C44" s="159"/>
      <c r="D44" s="159"/>
      <c r="E44" s="159"/>
      <c r="F44" s="159"/>
      <c r="G44" s="159"/>
      <c r="H44" s="159"/>
    </row>
    <row r="45" spans="1:8" ht="13.5" thickBot="1">
      <c r="A45" s="97" t="s">
        <v>240</v>
      </c>
      <c r="B45" s="95" t="str">
        <f>IF(Inputs!$C$12,Inputs!$C$11,"")</f>
        <v>Irr Corn</v>
      </c>
      <c r="C45" s="95" t="str">
        <f>IF(Inputs!$D$12,Inputs!$D$11,"")</f>
        <v>Irr Soybeans</v>
      </c>
      <c r="D45" s="95" t="str">
        <f>IF(Inputs!$E$12,Inputs!$E$11,"")</f>
        <v>Dry Corn</v>
      </c>
      <c r="E45" s="95" t="str">
        <f>IF(Inputs!$F$12,Inputs!$F$11,"")</f>
        <v>Dry Soybeans</v>
      </c>
      <c r="F45" s="98"/>
      <c r="G45" s="95" t="s">
        <v>23</v>
      </c>
      <c r="H45" s="95" t="s">
        <v>288</v>
      </c>
    </row>
    <row r="46" spans="1:8">
      <c r="A46" t="s">
        <v>298</v>
      </c>
      <c r="B46" s="37">
        <f>IF(Inputs!C12,B31,"")</f>
        <v>127.48825000000001</v>
      </c>
      <c r="C46" s="37">
        <f>IF(Inputs!D12,C31,"")</f>
        <v>47.045250000000003</v>
      </c>
      <c r="D46" s="37">
        <f>IF(Inputs!E12,D31,"")</f>
        <v>57.68</v>
      </c>
      <c r="E46" s="37">
        <f>IF(Inputs!F12,E31,"")</f>
        <v>13.081</v>
      </c>
      <c r="G46" s="37">
        <f>IF(Inputs!J12,SUMPRODUCT($B$7:$E$7,B46:E46),"")</f>
        <v>12406.092500000001</v>
      </c>
      <c r="H46" s="46">
        <f>IF(Inputs!$J$12,G46/Inputs!$J$13,"")</f>
        <v>77.538078124999998</v>
      </c>
    </row>
    <row r="47" spans="1:8">
      <c r="A47" t="s">
        <v>299</v>
      </c>
      <c r="B47" s="37">
        <f>IF(Inputs!C12,B38,"")</f>
        <v>100.06318681318682</v>
      </c>
      <c r="C47" s="37">
        <f>IF(Inputs!D12,C38,"")</f>
        <v>100.06318681318682</v>
      </c>
      <c r="D47" s="37">
        <f>IF(Inputs!E12,D38,"")</f>
        <v>28</v>
      </c>
      <c r="E47" s="37">
        <f>IF(Inputs!F12,E38,"")</f>
        <v>28</v>
      </c>
      <c r="G47" s="37">
        <f>IF(Inputs!J12,SUMPRODUCT($B$7:$E$7,B47:E47),"")</f>
        <v>13848.214285714286</v>
      </c>
      <c r="H47" s="46">
        <f>IF(Inputs!$J$12,G47/Inputs!$J$13,"")</f>
        <v>86.551339285714292</v>
      </c>
    </row>
    <row r="48" spans="1:8">
      <c r="A48" t="s">
        <v>300</v>
      </c>
      <c r="B48" s="114">
        <f>IF(Inputs!C12,(Inputs!$C$166*Inputs!$C$167*Inputs!C13),"")</f>
        <v>144</v>
      </c>
      <c r="C48" s="114">
        <f>IF(Inputs!D12,(Inputs!$C$166*Inputs!$C$167*Inputs!D13),"")</f>
        <v>144</v>
      </c>
      <c r="D48" s="114">
        <f>IF(Inputs!E12,(Inputs!$C$166*Inputs!$C$167*Inputs!E13),"")</f>
        <v>144</v>
      </c>
      <c r="E48" s="114">
        <f>IF(Inputs!F12,(Inputs!$C$166*Inputs!$C$167*Inputs!F13),"")</f>
        <v>144</v>
      </c>
      <c r="G48" s="37">
        <f>IF(Inputs!J12,SUMPRODUCT($B$7:$E$7,B48:E48),"")</f>
        <v>23040</v>
      </c>
      <c r="H48" s="46">
        <f>IF(Inputs!$J$12,G48/Inputs!$J$13,"")</f>
        <v>144</v>
      </c>
    </row>
    <row r="49" spans="1:8" s="45" customFormat="1">
      <c r="A49" s="45" t="s">
        <v>301</v>
      </c>
      <c r="B49" s="46">
        <f>IF(Inputs!C12,SUM(B46:B48),"")</f>
        <v>371.5514368131868</v>
      </c>
      <c r="C49" s="46">
        <f>IF(Inputs!D12,SUM(C46:C48),"")</f>
        <v>291.10843681318681</v>
      </c>
      <c r="D49" s="46">
        <f>IF(Inputs!E12,SUM(D46:D48),"")</f>
        <v>229.68</v>
      </c>
      <c r="E49" s="46">
        <f>IF(Inputs!F12,SUM(E46:E48),"")</f>
        <v>185.08100000000002</v>
      </c>
      <c r="G49" s="195">
        <f>IF(Inputs!J12,SUM(G46:G48),"")</f>
        <v>49294.306785714289</v>
      </c>
      <c r="H49" s="46">
        <f>IF(Inputs!$J$12,G49/Inputs!$J$13,"")</f>
        <v>308.0894174107143</v>
      </c>
    </row>
    <row r="50" spans="1:8">
      <c r="A50" s="11" t="s">
        <v>241</v>
      </c>
      <c r="B50" s="160">
        <f>IF(Inputs!C12,B49/(B49+'Share Summary'!B114),"")</f>
        <v>0.50160768103814724</v>
      </c>
      <c r="C50" s="160">
        <f>IF(Inputs!D12,C49/(C49+'Share Summary'!C114),"")</f>
        <v>0.5916513618463678</v>
      </c>
      <c r="D50" s="160">
        <f>IF(Inputs!E12,D49/(D49+'Share Summary'!D114),"")</f>
        <v>0.46598774367833701</v>
      </c>
      <c r="E50" s="160">
        <f>IF(Inputs!F12,E49/(E49+'Share Summary'!E114),"")</f>
        <v>0.54962615051740249</v>
      </c>
      <c r="F50" s="160"/>
      <c r="G50" s="160">
        <f>IF(Inputs!J12,G49/(G49+'Share Summary'!G114),"")</f>
        <v>0.53249086753514407</v>
      </c>
      <c r="H50" s="160">
        <f>IF(Inputs!J12,H49/(H49+'Share Summary'!H114),"")</f>
        <v>0.53249086753514407</v>
      </c>
    </row>
    <row r="52" spans="1:8" ht="13.5" thickBot="1">
      <c r="A52" s="94" t="s">
        <v>242</v>
      </c>
      <c r="B52" s="95" t="str">
        <f>IF(Inputs!$C$12,Inputs!$C$11,"")</f>
        <v>Irr Corn</v>
      </c>
      <c r="C52" s="95" t="str">
        <f>IF(Inputs!$D$12,Inputs!$D$11,"")</f>
        <v>Irr Soybeans</v>
      </c>
      <c r="D52" s="95" t="str">
        <f>IF(Inputs!$E$12,Inputs!$E$11,"")</f>
        <v>Dry Corn</v>
      </c>
      <c r="E52" s="95" t="str">
        <f>IF(Inputs!$F$12,Inputs!$F$11,"")</f>
        <v>Dry Soybeans</v>
      </c>
      <c r="F52" s="161"/>
      <c r="G52" s="95" t="s">
        <v>23</v>
      </c>
      <c r="H52" s="95" t="s">
        <v>288</v>
      </c>
    </row>
    <row r="53" spans="1:8">
      <c r="A53" s="43" t="s">
        <v>243</v>
      </c>
      <c r="B53" s="83">
        <f>IF(Inputs!C12,'Share Summary'!B244,"")</f>
        <v>487.51175000000001</v>
      </c>
      <c r="C53" s="83">
        <f>IF(Inputs!D12,'Share Summary'!C244,"")</f>
        <v>307.95474999999999</v>
      </c>
      <c r="D53" s="83">
        <f>IF(Inputs!E12,'Share Summary'!D244,"")</f>
        <v>333.32</v>
      </c>
      <c r="E53" s="83">
        <f>IF(Inputs!F12,'Share Summary'!E244,"")</f>
        <v>251.66900000000001</v>
      </c>
      <c r="F53" s="83"/>
      <c r="G53" s="83">
        <f>IF(Inputs!J12,'Share Summary'!G244,"")</f>
        <v>60480.157500000001</v>
      </c>
      <c r="H53" s="44">
        <f>IF(Inputs!$J$12,G53/Inputs!$J$13,"")</f>
        <v>378.00098437500003</v>
      </c>
    </row>
    <row r="54" spans="1:8">
      <c r="A54" s="10"/>
      <c r="B54" s="10"/>
      <c r="D54" s="10"/>
      <c r="H54" s="26"/>
    </row>
    <row r="55" spans="1:8" ht="13.5" thickBot="1">
      <c r="A55" s="97" t="s">
        <v>244</v>
      </c>
      <c r="B55" s="95" t="str">
        <f>IF(Inputs!$C$12,Inputs!$C$11,"")</f>
        <v>Irr Corn</v>
      </c>
      <c r="C55" s="95" t="str">
        <f>IF(Inputs!$D$12,Inputs!$D$11,"")</f>
        <v>Irr Soybeans</v>
      </c>
      <c r="D55" s="95" t="str">
        <f>IF(Inputs!$E$12,Inputs!$E$11,"")</f>
        <v>Dry Corn</v>
      </c>
      <c r="E55" s="95" t="str">
        <f>IF(Inputs!$F$12,Inputs!$F$11,"")</f>
        <v>Dry Soybeans</v>
      </c>
      <c r="F55" s="98"/>
      <c r="G55" s="95"/>
      <c r="H55" s="101"/>
    </row>
    <row r="56" spans="1:8">
      <c r="A56" s="45" t="s">
        <v>294</v>
      </c>
      <c r="B56" s="113">
        <f>IF(Inputs!C12,('Share Summary'!B31-SUM('Share Summary'!B13:B15))/'Share Summary'!B11,"")</f>
        <v>21.361500000000003</v>
      </c>
      <c r="C56" s="113">
        <f>IF(Inputs!D12,('Share Summary'!C31-SUM('Share Summary'!C13:C15))/'Share Summary'!C11,"")</f>
        <v>3.2213260869565219</v>
      </c>
      <c r="D56" s="113">
        <f>IF(Inputs!E12,('Share Summary'!D31-SUM('Share Summary'!D13:D15))/'Share Summary'!D11,"")</f>
        <v>9.3963636363636365</v>
      </c>
      <c r="E56" s="113">
        <f>IF(Inputs!F12,('Share Summary'!E31-SUM('Share Summary'!E13:E15))/'Share Summary'!E11,"")</f>
        <v>0.61573913043478257</v>
      </c>
      <c r="F56" s="26"/>
      <c r="G56" s="96" t="s">
        <v>28</v>
      </c>
      <c r="H56" s="96" t="s">
        <v>28</v>
      </c>
    </row>
    <row r="57" spans="1:8">
      <c r="A57" s="45" t="s">
        <v>295</v>
      </c>
      <c r="B57" s="113">
        <f>IF(Inputs!C12,('Share Summary'!B41-SUM('Share Summary'!B13:B15))/'Share Summary'!B11,"")</f>
        <v>39.554806693306695</v>
      </c>
      <c r="C57" s="113">
        <f>IF(Inputs!D12,('Share Summary'!C41-SUM('Share Summary'!C13:C15))/'Share Summary'!C11,"")</f>
        <v>11.92247276636407</v>
      </c>
      <c r="D57" s="113">
        <f>IF(Inputs!E12,('Share Summary'!D41-SUM('Share Summary'!D13:D15))/'Share Summary'!D11,"")</f>
        <v>14.487272727272728</v>
      </c>
      <c r="E57" s="113">
        <f>IF(Inputs!F12,('Share Summary'!E41-SUM('Share Summary'!E13:E15))/'Share Summary'!E11,"")</f>
        <v>3.0505217391304349</v>
      </c>
      <c r="F57" s="26"/>
      <c r="G57" s="96" t="s">
        <v>28</v>
      </c>
      <c r="H57" s="96" t="s">
        <v>28</v>
      </c>
    </row>
    <row r="58" spans="1:8">
      <c r="A58" s="45"/>
      <c r="B58" s="37"/>
      <c r="C58" s="37"/>
      <c r="D58" s="37"/>
      <c r="E58" s="37"/>
      <c r="F58" s="26"/>
      <c r="G58" s="96"/>
      <c r="H58" s="26"/>
    </row>
    <row r="59" spans="1:8">
      <c r="A59" s="45" t="s">
        <v>296</v>
      </c>
      <c r="B59" s="37">
        <f>IF(Inputs!C12,('Share Summary'!B31-SUM('Share Summary'!B13:B15))/'Share Summary'!B10,"")</f>
        <v>1.0680750000000001</v>
      </c>
      <c r="C59" s="37">
        <f>IF(Inputs!D12,('Share Summary'!C31-SUM('Share Summary'!C13:C15))/'Share Summary'!C10,"")</f>
        <v>1.2348416666666668</v>
      </c>
      <c r="D59" s="37">
        <f>IF(Inputs!E12,('Share Summary'!D31-SUM('Share Summary'!D13:D15))/'Share Summary'!D10,"")</f>
        <v>0.73828571428571432</v>
      </c>
      <c r="E59" s="37">
        <f>IF(Inputs!F12,('Share Summary'!E31-SUM('Share Summary'!E13:E15))/'Share Summary'!E10,"")</f>
        <v>0.31471111111111111</v>
      </c>
      <c r="F59" s="26"/>
      <c r="G59" s="96" t="s">
        <v>28</v>
      </c>
      <c r="H59" s="96" t="s">
        <v>28</v>
      </c>
    </row>
    <row r="60" spans="1:8">
      <c r="A60" s="45" t="s">
        <v>297</v>
      </c>
      <c r="B60" s="37">
        <f>IF(Inputs!C12,('Share Summary'!B41-SUM('Share Summary'!B13:B15))/'Share Summary'!B10,"")</f>
        <v>1.9777403346653348</v>
      </c>
      <c r="C60" s="37">
        <f>IF(Inputs!D12,('Share Summary'!C41-SUM('Share Summary'!C13:C15))/'Share Summary'!C10,"")</f>
        <v>4.5702812271062268</v>
      </c>
      <c r="D60" s="37">
        <f>IF(Inputs!E12,('Share Summary'!D41-SUM('Share Summary'!D13:D15))/'Share Summary'!D10,"")</f>
        <v>1.1382857142857143</v>
      </c>
      <c r="E60" s="37">
        <f>IF(Inputs!F12,('Share Summary'!E41-SUM('Share Summary'!E13:E15))/'Share Summary'!E10,"")</f>
        <v>1.5591555555555556</v>
      </c>
      <c r="F60" s="26"/>
      <c r="G60" s="96" t="s">
        <v>28</v>
      </c>
      <c r="H60" s="96" t="s">
        <v>28</v>
      </c>
    </row>
    <row r="61" spans="1:8">
      <c r="A61" s="10"/>
      <c r="B61" s="10"/>
      <c r="D61" s="10"/>
      <c r="H61" s="26"/>
    </row>
    <row r="62" spans="1:8">
      <c r="A62" s="10"/>
      <c r="B62" s="10"/>
      <c r="D62" s="10"/>
      <c r="H62" s="26"/>
    </row>
    <row r="63" spans="1:8">
      <c r="A63" s="10"/>
      <c r="B63" s="10"/>
      <c r="D63" s="10"/>
      <c r="H63" s="26"/>
    </row>
    <row r="64" spans="1:8">
      <c r="A64" s="10"/>
      <c r="B64" s="10"/>
      <c r="D64" s="10"/>
      <c r="H64" s="26"/>
    </row>
    <row r="65" spans="1:8">
      <c r="A65" s="10"/>
      <c r="B65" s="10"/>
      <c r="D65" s="10"/>
      <c r="H65" s="26"/>
    </row>
    <row r="66" spans="1:8">
      <c r="A66" s="10"/>
      <c r="B66" s="10"/>
      <c r="D66" s="10"/>
      <c r="H66" s="26"/>
    </row>
    <row r="67" spans="1:8">
      <c r="A67" s="10"/>
      <c r="B67" s="10"/>
      <c r="D67" s="10"/>
      <c r="H67" s="26"/>
    </row>
    <row r="68" spans="1:8" ht="18.75" thickBot="1">
      <c r="A68" s="293" t="s">
        <v>245</v>
      </c>
      <c r="B68" s="293"/>
      <c r="C68" s="293"/>
      <c r="D68" s="293"/>
      <c r="E68" s="293"/>
      <c r="F68" s="293"/>
      <c r="G68" s="293"/>
      <c r="H68" s="293"/>
    </row>
    <row r="69" spans="1:8">
      <c r="A69" s="10"/>
      <c r="B69" s="10"/>
      <c r="D69" s="10"/>
      <c r="H69" s="26"/>
    </row>
    <row r="70" spans="1:8" ht="15">
      <c r="A70" s="105" t="str">
        <f>Inputs!H4</f>
        <v>Average Joe Tenant</v>
      </c>
      <c r="F70" s="18"/>
      <c r="G70" s="18"/>
      <c r="H70" s="15"/>
    </row>
    <row r="71" spans="1:8" ht="15">
      <c r="A71" s="105" t="str">
        <f>Inputs!B9</f>
        <v>Pivot Irrigated Quarter Section with Dryland Corners</v>
      </c>
      <c r="F71" s="18"/>
      <c r="G71" s="18"/>
      <c r="H71" s="15"/>
    </row>
    <row r="72" spans="1:8">
      <c r="A72" s="11"/>
      <c r="F72" s="18"/>
      <c r="G72" s="18"/>
      <c r="H72" s="15"/>
    </row>
    <row r="73" spans="1:8" ht="13.5" thickBot="1">
      <c r="A73" s="106" t="s">
        <v>22</v>
      </c>
      <c r="B73" s="107" t="str">
        <f>IF(Inputs!$C$12,Inputs!$C$11,"")</f>
        <v>Irr Corn</v>
      </c>
      <c r="C73" s="107" t="str">
        <f>IF(Inputs!$D$12,Inputs!$D$11,"")</f>
        <v>Irr Soybeans</v>
      </c>
      <c r="D73" s="107" t="str">
        <f>IF(Inputs!$E$12,Inputs!$E$11,"")</f>
        <v>Dry Corn</v>
      </c>
      <c r="E73" s="107" t="str">
        <f>IF(Inputs!$F$12,Inputs!$F$11,"")</f>
        <v>Dry Soybeans</v>
      </c>
      <c r="F73" s="107"/>
      <c r="G73" s="107" t="s">
        <v>23</v>
      </c>
      <c r="H73" s="162"/>
    </row>
    <row r="74" spans="1:8">
      <c r="A74" s="11" t="s">
        <v>189</v>
      </c>
      <c r="B74" s="68">
        <f>IF(Inputs!C12,Inputs!$C$12,"")</f>
        <v>65</v>
      </c>
      <c r="C74" s="68">
        <f>IF(Inputs!D12,Inputs!$D$12,"")</f>
        <v>65</v>
      </c>
      <c r="D74" s="68">
        <f>IF(Inputs!E12,Inputs!$E$12,"")</f>
        <v>15</v>
      </c>
      <c r="E74" s="68">
        <f>IF(Inputs!F12,Inputs!$F$12,"")</f>
        <v>15</v>
      </c>
      <c r="F74" s="68"/>
      <c r="G74" s="68">
        <f>IF(Inputs!J12,SUM(B74:E74),"")</f>
        <v>160</v>
      </c>
      <c r="H74" s="96" t="s">
        <v>28</v>
      </c>
    </row>
    <row r="75" spans="1:8">
      <c r="A75" s="27"/>
      <c r="B75" s="26"/>
      <c r="C75" s="26"/>
      <c r="D75" s="26"/>
      <c r="E75" s="26"/>
      <c r="F75" s="26"/>
      <c r="G75" s="26"/>
      <c r="H75" s="96"/>
    </row>
    <row r="76" spans="1:8" ht="13.5" thickBot="1">
      <c r="A76" s="108" t="s">
        <v>246</v>
      </c>
      <c r="B76" s="107" t="str">
        <f>IF(Inputs!$C$12,Inputs!$C$11,"")</f>
        <v>Irr Corn</v>
      </c>
      <c r="C76" s="107" t="str">
        <f>IF(Inputs!$D$12,Inputs!$D$11,"")</f>
        <v>Irr Soybeans</v>
      </c>
      <c r="D76" s="107" t="str">
        <f>IF(Inputs!$E$12,Inputs!$E$11,"")</f>
        <v>Dry Corn</v>
      </c>
      <c r="E76" s="107" t="str">
        <f>IF(Inputs!$F$12,Inputs!$F$11,"")</f>
        <v>Dry Soybeans</v>
      </c>
      <c r="F76" s="109"/>
      <c r="G76" s="107" t="s">
        <v>23</v>
      </c>
      <c r="H76" s="196" t="s">
        <v>288</v>
      </c>
    </row>
    <row r="77" spans="1:8">
      <c r="A77" t="s">
        <v>201</v>
      </c>
      <c r="B77" s="110">
        <f>IF(Inputs!C12,Inputs!C17*Shares!C9,"")</f>
        <v>110</v>
      </c>
      <c r="C77" s="110">
        <f>IF(Inputs!D12,Inputs!D17*Shares!D9,"")</f>
        <v>30</v>
      </c>
      <c r="D77" s="110">
        <f>IF(Inputs!E12,Inputs!E17*Shares!E9,"")</f>
        <v>70</v>
      </c>
      <c r="E77" s="110">
        <f>IF(Inputs!F12,Inputs!F17*Shares!F9,"")</f>
        <v>22.5</v>
      </c>
      <c r="F77" s="37"/>
      <c r="G77" s="96" t="s">
        <v>28</v>
      </c>
      <c r="H77" s="96" t="s">
        <v>28</v>
      </c>
    </row>
    <row r="78" spans="1:8">
      <c r="A78" t="s">
        <v>202</v>
      </c>
      <c r="B78" s="37">
        <f>IF(Inputs!C12,Inputs!C18,"")</f>
        <v>5.5</v>
      </c>
      <c r="C78" s="37">
        <f>IF(Inputs!D12,Inputs!D18,"")</f>
        <v>11.5</v>
      </c>
      <c r="D78" s="37">
        <f>IF(Inputs!E12,Inputs!E18,"")</f>
        <v>5.5</v>
      </c>
      <c r="E78" s="37">
        <f>IF(Inputs!F12,Inputs!F18,"")</f>
        <v>11.5</v>
      </c>
      <c r="F78" s="37"/>
      <c r="G78" s="96" t="s">
        <v>28</v>
      </c>
      <c r="H78" s="96" t="s">
        <v>28</v>
      </c>
    </row>
    <row r="79" spans="1:8">
      <c r="A79" s="11" t="s">
        <v>30</v>
      </c>
      <c r="B79" s="44">
        <f>IF(Inputs!C12,B77*B78,"")</f>
        <v>605</v>
      </c>
      <c r="C79" s="44">
        <f>IF(Inputs!D12,C77*C78,"")</f>
        <v>345</v>
      </c>
      <c r="D79" s="44">
        <f>IF(Inputs!E12,D77*D78,"")</f>
        <v>385</v>
      </c>
      <c r="E79" s="44">
        <f>IF(Inputs!F12,E77*E78,"")</f>
        <v>258.75</v>
      </c>
      <c r="F79" s="37"/>
      <c r="G79" s="44">
        <f>IF(Inputs!$J$12,SUMPRODUCT($B$74:$E$74,B79:E79),"")</f>
        <v>71406.25</v>
      </c>
      <c r="H79" s="44">
        <f>IF(Inputs!$J$12,G79/Inputs!$J$13,"")</f>
        <v>446.2890625</v>
      </c>
    </row>
    <row r="80" spans="1:8">
      <c r="A80" t="s">
        <v>159</v>
      </c>
      <c r="B80" s="37">
        <f>IF(Inputs!C12,Inputs!C20*Shares!C10,"")</f>
        <v>10</v>
      </c>
      <c r="C80" s="37">
        <f>IF(Inputs!D12,Inputs!D20*Shares!D10,"")</f>
        <v>10</v>
      </c>
      <c r="D80" s="37">
        <f>IF(Inputs!E12,Inputs!E20*Shares!E10,"")</f>
        <v>6</v>
      </c>
      <c r="E80" s="37">
        <f>IF(Inputs!F12,Inputs!F20*Shares!F10,"")</f>
        <v>6</v>
      </c>
      <c r="F80" s="37"/>
      <c r="G80" s="46">
        <f>IF(Inputs!$J$12,SUMPRODUCT($B$74:$E$74,B80:E80),"")</f>
        <v>1480</v>
      </c>
      <c r="H80" s="46">
        <f>IF(Inputs!$J$12,G80/Inputs!$J$13,"")</f>
        <v>9.25</v>
      </c>
    </row>
    <row r="81" spans="1:8">
      <c r="A81" s="18" t="str">
        <f>Inputs!A21</f>
        <v xml:space="preserve">   Other Income per Acre</v>
      </c>
      <c r="B81" s="37">
        <f>IF(Inputs!C12,Inputs!C21*Shares!C11,"")</f>
        <v>0</v>
      </c>
      <c r="C81" s="37">
        <f>IF(Inputs!D12,Inputs!D21*Shares!D11,"")</f>
        <v>0</v>
      </c>
      <c r="D81" s="37">
        <f>IF(Inputs!E12,Inputs!E21*Shares!E11,"")</f>
        <v>0</v>
      </c>
      <c r="E81" s="37">
        <f>IF(Inputs!F12,Inputs!F21*Shares!F11,"")</f>
        <v>0</v>
      </c>
      <c r="F81" s="37"/>
      <c r="G81" s="46">
        <f>IF(Inputs!$J$12,SUMPRODUCT($B$74:$E$74,B81:E81),"")</f>
        <v>0</v>
      </c>
      <c r="H81" s="46">
        <f>IF(Inputs!$J$12,G81/Inputs!$J$13,"")</f>
        <v>0</v>
      </c>
    </row>
    <row r="82" spans="1:8">
      <c r="A82" s="11" t="s">
        <v>33</v>
      </c>
      <c r="B82" s="44">
        <f>IF(Inputs!C12,SUM(B79:B81),"")</f>
        <v>615</v>
      </c>
      <c r="C82" s="44">
        <f>IF(Inputs!D12,SUM(C79:C81),"")</f>
        <v>355</v>
      </c>
      <c r="D82" s="44">
        <f>IF(Inputs!E12,SUM(D79:D81),"")</f>
        <v>391</v>
      </c>
      <c r="E82" s="44">
        <f>IF(Inputs!F12,SUM(E79:E81),"")</f>
        <v>264.75</v>
      </c>
      <c r="F82" s="44"/>
      <c r="G82" s="44">
        <f>IF(Inputs!$J$12,SUMPRODUCT($B$74:$E$74,B82:E82),"")</f>
        <v>72886.25</v>
      </c>
      <c r="H82" s="44">
        <f>IF(Inputs!$J$12,G82/Inputs!$J$13,"")</f>
        <v>455.5390625</v>
      </c>
    </row>
    <row r="83" spans="1:8">
      <c r="A83" s="11"/>
      <c r="B83" s="44"/>
      <c r="C83" s="44"/>
      <c r="D83" s="44"/>
      <c r="E83" s="44"/>
      <c r="F83" s="44"/>
      <c r="G83" s="44"/>
      <c r="H83" s="44"/>
    </row>
    <row r="84" spans="1:8" ht="13.5" thickBot="1">
      <c r="A84" s="108" t="s">
        <v>247</v>
      </c>
      <c r="B84" s="107" t="str">
        <f>IF(Inputs!$C$12,Inputs!$C$11,"")</f>
        <v>Irr Corn</v>
      </c>
      <c r="C84" s="107" t="str">
        <f>IF(Inputs!$D$12,Inputs!$D$11,"")</f>
        <v>Irr Soybeans</v>
      </c>
      <c r="D84" s="107" t="str">
        <f>IF(Inputs!$E$12,Inputs!$E$11,"")</f>
        <v>Dry Corn</v>
      </c>
      <c r="E84" s="107" t="str">
        <f>IF(Inputs!$F$12,Inputs!$F$11,"")</f>
        <v>Dry Soybeans</v>
      </c>
      <c r="F84" s="109"/>
      <c r="G84" s="107" t="s">
        <v>23</v>
      </c>
      <c r="H84" s="196" t="s">
        <v>288</v>
      </c>
    </row>
    <row r="85" spans="1:8">
      <c r="A85" t="s">
        <v>161</v>
      </c>
      <c r="B85" s="37">
        <f>IF(Inputs!C12,Inputs!C29*Shares!C14,"")</f>
        <v>84.8</v>
      </c>
      <c r="C85" s="37">
        <f>IF(Inputs!D12,Inputs!D29*Shares!D14,"")</f>
        <v>39.6</v>
      </c>
      <c r="D85" s="37">
        <f>IF(Inputs!E12,Inputs!E29*Shares!E14,"")</f>
        <v>60.949999999999996</v>
      </c>
      <c r="E85" s="37">
        <f>IF(Inputs!F12,Inputs!F29*Shares!F14,"")</f>
        <v>36</v>
      </c>
      <c r="F85" s="26"/>
      <c r="G85" s="46">
        <f>IF(Inputs!$J$12,SUMPRODUCT($B$74:$E$74,B85:E85),"")</f>
        <v>9540.25</v>
      </c>
      <c r="H85" s="46">
        <f>IF(Inputs!$J$12,G85/Inputs!$J$13,"")</f>
        <v>59.626562499999999</v>
      </c>
    </row>
    <row r="86" spans="1:8">
      <c r="A86" t="s">
        <v>162</v>
      </c>
      <c r="B86" s="37">
        <f>IF(Inputs!C12,Inputs!C38*Shares!C15,"")</f>
        <v>54.5</v>
      </c>
      <c r="C86" s="37">
        <f>IF(Inputs!D12,Inputs!D38*Shares!D15,"")</f>
        <v>0</v>
      </c>
      <c r="D86" s="37">
        <f>IF(Inputs!E12,Inputs!E38*Shares!E15,"")</f>
        <v>32.5</v>
      </c>
      <c r="E86" s="37">
        <f>IF(Inputs!F12,Inputs!F38*Shares!F15,"")</f>
        <v>0</v>
      </c>
      <c r="F86" s="26"/>
      <c r="G86" s="46">
        <f>IF(Inputs!$J$12,SUMPRODUCT($B$74:$E$74,B86:E86),"")</f>
        <v>4030</v>
      </c>
      <c r="H86" s="46">
        <f>IF(Inputs!$J$12,G86/Inputs!$J$13,"")</f>
        <v>25.1875</v>
      </c>
    </row>
    <row r="87" spans="1:8">
      <c r="A87" t="s">
        <v>163</v>
      </c>
      <c r="B87" s="37">
        <f>IF(Inputs!C12,Inputs!C49*Shares!C16,"")</f>
        <v>37</v>
      </c>
      <c r="C87" s="37">
        <f>IF(Inputs!D12,Inputs!D49*Shares!D16,"")</f>
        <v>7.46</v>
      </c>
      <c r="D87" s="37">
        <f>IF(Inputs!E12,Inputs!E49*Shares!E16,"")</f>
        <v>37</v>
      </c>
      <c r="E87" s="37">
        <f>IF(Inputs!F12,Inputs!F49*Shares!F16,"")</f>
        <v>7.46</v>
      </c>
      <c r="F87" s="26"/>
      <c r="G87" s="46">
        <f>IF(Inputs!$J$12,SUMPRODUCT($B$74:$E$74,B87:E87),"")</f>
        <v>3556.8</v>
      </c>
      <c r="H87" s="46">
        <f>IF(Inputs!$J$12,G87/Inputs!$J$13,"")</f>
        <v>22.23</v>
      </c>
    </row>
    <row r="88" spans="1:8">
      <c r="A88" t="s">
        <v>164</v>
      </c>
      <c r="B88" s="37">
        <f>IF(Inputs!C12,Inputs!C57*Shares!C17,"")</f>
        <v>0</v>
      </c>
      <c r="C88" s="37">
        <f>IF(Inputs!D12,Inputs!D57*Shares!D17,"")</f>
        <v>1.875</v>
      </c>
      <c r="D88" s="37">
        <f>IF(Inputs!E12,Inputs!E57*Shares!E17,"")</f>
        <v>0</v>
      </c>
      <c r="E88" s="37">
        <f>IF(Inputs!F12,Inputs!F57*Shares!F17,"")</f>
        <v>1.875</v>
      </c>
      <c r="F88" s="26"/>
      <c r="G88" s="46">
        <f>IF(Inputs!$J$12,SUMPRODUCT($B$74:$E$74,B88:E88),"")</f>
        <v>150</v>
      </c>
      <c r="H88" s="46">
        <f>IF(Inputs!$J$12,G88/Inputs!$J$13,"")</f>
        <v>0.9375</v>
      </c>
    </row>
    <row r="89" spans="1:8">
      <c r="A89" t="s">
        <v>165</v>
      </c>
      <c r="B89" s="37">
        <f>IF(Inputs!C12,Inputs!C64*Shares!C18,"")</f>
        <v>15</v>
      </c>
      <c r="C89" s="37">
        <f>IF(Inputs!D12,Inputs!D64*Shares!D18,"")</f>
        <v>9.5</v>
      </c>
      <c r="D89" s="37">
        <f>IF(Inputs!E12,Inputs!E64*Shares!E18,"")</f>
        <v>9.5</v>
      </c>
      <c r="E89" s="37">
        <f>IF(Inputs!F12,Inputs!F64*Shares!F18,"")</f>
        <v>7</v>
      </c>
      <c r="F89" s="26"/>
      <c r="G89" s="46">
        <f>IF(Inputs!$J$12,SUMPRODUCT($B$74:$E$74,B89:E89),"")</f>
        <v>1840</v>
      </c>
      <c r="H89" s="46">
        <f>IF(Inputs!$J$12,G89/Inputs!$J$13,"")</f>
        <v>11.5</v>
      </c>
    </row>
    <row r="90" spans="1:8">
      <c r="A90" t="s">
        <v>166</v>
      </c>
      <c r="B90" s="37">
        <f>IF(Inputs!C12,Inputs!C68*Shares!C19,"")</f>
        <v>4.375</v>
      </c>
      <c r="C90" s="37">
        <f>IF(Inputs!D12,Inputs!D68*Shares!D19,"")</f>
        <v>4</v>
      </c>
      <c r="D90" s="37">
        <f>IF(Inputs!E12,Inputs!E68*Shares!E19,"")</f>
        <v>0</v>
      </c>
      <c r="E90" s="37">
        <f>IF(Inputs!F12,Inputs!F68*Shares!F19,"")</f>
        <v>0</v>
      </c>
      <c r="F90" s="26"/>
      <c r="G90" s="46">
        <f>IF(Inputs!$J$12,SUMPRODUCT($B$74:$E$74,B90:E90),"")</f>
        <v>544.375</v>
      </c>
      <c r="H90" s="46">
        <f>IF(Inputs!$J$12,G90/Inputs!$J$13,"")</f>
        <v>3.40234375</v>
      </c>
    </row>
    <row r="91" spans="1:8">
      <c r="A91" t="s">
        <v>167</v>
      </c>
      <c r="B91" s="37">
        <f>IF(Inputs!C12,Inputs!C85*Shares!C20,"")</f>
        <v>38</v>
      </c>
      <c r="C91" s="37">
        <f>IF(Inputs!D12,Inputs!D85*Shares!D20,"")</f>
        <v>33.799999999999997</v>
      </c>
      <c r="D91" s="37">
        <f>IF(Inputs!E12,Inputs!E85*Shares!E20,"")</f>
        <v>38</v>
      </c>
      <c r="E91" s="37">
        <f>IF(Inputs!F12,Inputs!F85*Shares!F20,"")</f>
        <v>33.799999999999997</v>
      </c>
      <c r="F91" s="26"/>
      <c r="G91" s="46">
        <f>IF(Inputs!$J$12,SUMPRODUCT($B$74:$E$74,B91:E91),"")</f>
        <v>5744</v>
      </c>
      <c r="H91" s="46">
        <f>IF(Inputs!$J$12,G91/Inputs!$J$13,"")</f>
        <v>35.9</v>
      </c>
    </row>
    <row r="92" spans="1:8">
      <c r="A92" t="s">
        <v>168</v>
      </c>
      <c r="B92" s="37">
        <f>IF(Inputs!C12,Inputs!C92*Shares!C21,"")</f>
        <v>0</v>
      </c>
      <c r="C92" s="37">
        <f>IF(Inputs!D12,Inputs!D92*Shares!D21,"")</f>
        <v>0</v>
      </c>
      <c r="D92" s="37">
        <f>IF(Inputs!E12,Inputs!E92*Shares!E21,"")</f>
        <v>0</v>
      </c>
      <c r="E92" s="37">
        <f>IF(Inputs!F12,Inputs!F92*Shares!F21,"")</f>
        <v>0</v>
      </c>
      <c r="F92" s="26"/>
      <c r="G92" s="46">
        <f>IF(Inputs!$J$12,SUMPRODUCT($B$74:$E$74,B92:E92),"")</f>
        <v>0</v>
      </c>
      <c r="H92" s="46">
        <f>IF(Inputs!$J$12,G92/Inputs!$J$13,"")</f>
        <v>0</v>
      </c>
    </row>
    <row r="93" spans="1:8">
      <c r="A93" t="s">
        <v>169</v>
      </c>
      <c r="B93" s="37">
        <f>IF(Inputs!C12,Inputs!C97*Shares!C22,"")</f>
        <v>27.900000000000002</v>
      </c>
      <c r="C93" s="37">
        <f>IF(Inputs!D12,Inputs!D97*Shares!D22,"")</f>
        <v>25.2</v>
      </c>
      <c r="D93" s="37">
        <f>IF(Inputs!E12,Inputs!E97*Shares!E22,"")</f>
        <v>0</v>
      </c>
      <c r="E93" s="37">
        <f>IF(Inputs!F12,Inputs!F97*Shares!F22,"")</f>
        <v>0</v>
      </c>
      <c r="F93" s="26"/>
      <c r="G93" s="46">
        <f>IF(Inputs!$J$12,SUMPRODUCT($B$74:$E$74,B93:E93),"")</f>
        <v>3451.5</v>
      </c>
      <c r="H93" s="46">
        <f>IF(Inputs!$J$12,G93/Inputs!$J$13,"")</f>
        <v>21.571874999999999</v>
      </c>
    </row>
    <row r="94" spans="1:8">
      <c r="A94" t="s">
        <v>304</v>
      </c>
      <c r="B94" s="37">
        <f>IF(Inputs!C12,Inputs!C104*Shares!C23,"")</f>
        <v>36.25</v>
      </c>
      <c r="C94" s="37">
        <f>IF(Inputs!D12,Inputs!D104*Shares!D23,"")</f>
        <v>36.25</v>
      </c>
      <c r="D94" s="37">
        <f>IF(Inputs!E12,Inputs!E104*Shares!E23,"")</f>
        <v>25</v>
      </c>
      <c r="E94" s="37">
        <f>IF(Inputs!F12,Inputs!F104*Shares!F23,"")</f>
        <v>25</v>
      </c>
      <c r="F94" s="26"/>
      <c r="G94" s="46">
        <f>IF(Inputs!$J$12,SUMPRODUCT($B$74:$E$74,B94:E94),"")</f>
        <v>5462.5</v>
      </c>
      <c r="H94" s="46">
        <f>IF(Inputs!$J$12,G94/Inputs!$J$13,"")</f>
        <v>34.140625</v>
      </c>
    </row>
    <row r="95" spans="1:8">
      <c r="A95" t="s">
        <v>170</v>
      </c>
      <c r="B95" s="37">
        <f>IF(Inputs!C12,Inputs!C111*Shares!C24,"")</f>
        <v>22</v>
      </c>
      <c r="C95" s="37">
        <f>IF(Inputs!D12,Inputs!D111*Shares!D24,"")</f>
        <v>5.0999999999999996</v>
      </c>
      <c r="D95" s="37">
        <f>IF(Inputs!E12,Inputs!E111*Shares!E24,"")</f>
        <v>14</v>
      </c>
      <c r="E95" s="37">
        <f>IF(Inputs!F12,Inputs!F111*Shares!F24,"")</f>
        <v>3.8249999999999997</v>
      </c>
      <c r="F95" s="26"/>
      <c r="G95" s="46">
        <f>IF(Inputs!$J$12,SUMPRODUCT($B$74:$E$74,B95:E95),"")</f>
        <v>2028.875</v>
      </c>
      <c r="H95" s="46">
        <f>IF(Inputs!$J$12,G95/Inputs!$J$13,"")</f>
        <v>12.680468749999999</v>
      </c>
    </row>
    <row r="96" spans="1:8">
      <c r="A96" t="s">
        <v>204</v>
      </c>
      <c r="B96" s="37">
        <f>IF(Inputs!C12,Inputs!C119,"")</f>
        <v>0</v>
      </c>
      <c r="C96" s="37">
        <f>IF(Inputs!D12,Inputs!D119,"")</f>
        <v>0</v>
      </c>
      <c r="D96" s="37">
        <f>IF(Inputs!E12,Inputs!E119,"")</f>
        <v>0</v>
      </c>
      <c r="E96" s="37">
        <f>IF(Inputs!F12,Inputs!F119,"")</f>
        <v>0</v>
      </c>
      <c r="F96" s="26"/>
      <c r="G96" s="46">
        <f>IF(Inputs!$J$12,SUMPRODUCT($B$74:$E$74,B96:E96),"")</f>
        <v>0</v>
      </c>
      <c r="H96" s="46">
        <f>IF(Inputs!$J$12,G96/Inputs!$J$13,"")</f>
        <v>0</v>
      </c>
    </row>
    <row r="97" spans="1:8">
      <c r="A97" t="s">
        <v>205</v>
      </c>
      <c r="B97" s="37">
        <f>IF(Inputs!C12,B229,"")</f>
        <v>9.5947499999999994</v>
      </c>
      <c r="C97" s="37">
        <f>IF(Inputs!D12,C229,"")</f>
        <v>4.8835499999999996</v>
      </c>
      <c r="D97" s="37">
        <f>IF(Inputs!E12,D229,"")</f>
        <v>6.5084999999999997</v>
      </c>
      <c r="E97" s="37">
        <f>IF(Inputs!F12,E229,"")</f>
        <v>3.4487999999999999</v>
      </c>
      <c r="F97" s="26"/>
      <c r="G97" s="46">
        <f>IF(Inputs!$J$12,SUMPRODUCT($B$74:$E$74,B97:E97),"")</f>
        <v>1090.4489999999998</v>
      </c>
      <c r="H97" s="46">
        <f>IF(Inputs!$J$12,G97/Inputs!$J$13,"")</f>
        <v>6.815306249999999</v>
      </c>
    </row>
    <row r="98" spans="1:8">
      <c r="A98" s="11" t="s">
        <v>206</v>
      </c>
      <c r="B98" s="44">
        <f>IF(Inputs!C12,SUM(B85:B97),"")</f>
        <v>329.41974999999996</v>
      </c>
      <c r="C98" s="44">
        <f>IF(Inputs!D12,SUM(C85:C97),"")</f>
        <v>167.66854999999998</v>
      </c>
      <c r="D98" s="44">
        <f>IF(Inputs!E12,SUM(D85:D97),"")</f>
        <v>223.45849999999999</v>
      </c>
      <c r="E98" s="44">
        <f>IF(Inputs!F12,SUM(E85:E97),"")</f>
        <v>118.4088</v>
      </c>
      <c r="F98" s="44"/>
      <c r="G98" s="44">
        <f>IF(Inputs!$J$12,SUMPRODUCT($B$74:$E$74,B98:E98),"")</f>
        <v>37438.748999999996</v>
      </c>
      <c r="H98" s="44">
        <f>IF(Inputs!$J$12,G98/Inputs!$J$13,"")</f>
        <v>233.99218124999999</v>
      </c>
    </row>
    <row r="100" spans="1:8" ht="13.5" thickBot="1">
      <c r="A100" s="108" t="s">
        <v>248</v>
      </c>
      <c r="B100" s="107" t="str">
        <f>IF(Inputs!$C$12,Inputs!$C$11,"")</f>
        <v>Irr Corn</v>
      </c>
      <c r="C100" s="107" t="str">
        <f>IF(Inputs!$D$12,Inputs!$D$11,"")</f>
        <v>Irr Soybeans</v>
      </c>
      <c r="D100" s="107" t="str">
        <f>IF(Inputs!$E$12,Inputs!$E$11,"")</f>
        <v>Dry Corn</v>
      </c>
      <c r="E100" s="107" t="str">
        <f>IF(Inputs!$F$12,Inputs!$F$11,"")</f>
        <v>Dry Soybeans</v>
      </c>
      <c r="F100" s="109"/>
      <c r="G100" s="107" t="s">
        <v>23</v>
      </c>
      <c r="H100" s="196" t="s">
        <v>288</v>
      </c>
    </row>
    <row r="101" spans="1:8">
      <c r="A101" s="45" t="s">
        <v>194</v>
      </c>
      <c r="B101" s="37">
        <f>IF(Inputs!C12,Inputs!C129*Shares!C27,"")</f>
        <v>0</v>
      </c>
      <c r="C101" s="37">
        <f>IF(Inputs!D12,Inputs!D129*Shares!D27,"")</f>
        <v>0</v>
      </c>
      <c r="D101" s="37">
        <f>IF(Inputs!E12,Inputs!E129*Shares!E27,"")</f>
        <v>0</v>
      </c>
      <c r="E101" s="37">
        <f>IF(Inputs!F12,Inputs!F129*Shares!F27,"")</f>
        <v>0</v>
      </c>
      <c r="F101" s="26"/>
      <c r="G101" s="46">
        <f>IF(Inputs!$J$12,SUMPRODUCT($B$74:$E$74,B101:E101),"")</f>
        <v>0</v>
      </c>
      <c r="H101" s="46">
        <f>IF(Inputs!$J$12,G101/Inputs!$J$13,"")</f>
        <v>0</v>
      </c>
    </row>
    <row r="102" spans="1:8">
      <c r="A102" t="s">
        <v>167</v>
      </c>
      <c r="B102" s="37">
        <f>IF(Inputs!C12,Inputs!C146*Shares!C28,"")</f>
        <v>39.75</v>
      </c>
      <c r="C102" s="37">
        <f>IF(Inputs!D12,Inputs!D146*Shares!D28,"")</f>
        <v>33.25</v>
      </c>
      <c r="D102" s="37">
        <f>IF(Inputs!E12,Inputs!E146*Shares!E28,"")</f>
        <v>39.75</v>
      </c>
      <c r="E102" s="37">
        <f>IF(Inputs!F12,Inputs!F146*Shares!F28,"")</f>
        <v>33.25</v>
      </c>
      <c r="F102" s="26"/>
      <c r="G102" s="46">
        <f>IF(Inputs!$J$12,SUMPRODUCT($B$74:$E$74,B102:E102),"")</f>
        <v>5840</v>
      </c>
      <c r="H102" s="46">
        <f>IF(Inputs!$J$12,G102/Inputs!$J$13,"")</f>
        <v>36.5</v>
      </c>
    </row>
    <row r="103" spans="1:8">
      <c r="A103" t="s">
        <v>169</v>
      </c>
      <c r="B103" s="37">
        <f>IF(Inputs!C12,Inputs!C263,"")</f>
        <v>0</v>
      </c>
      <c r="C103" s="37">
        <f>IF(Inputs!D12,Inputs!D263,"")</f>
        <v>0</v>
      </c>
      <c r="D103" s="37">
        <f>IF(Inputs!E12,Inputs!E263,"")</f>
        <v>0</v>
      </c>
      <c r="E103" s="37">
        <f>IF(Inputs!F12,Inputs!F263,"")</f>
        <v>0</v>
      </c>
      <c r="F103" s="26"/>
      <c r="G103" s="46">
        <f>IF(Inputs!$J$12,SUMPRODUCT($B$74:$E$74,B103:E103),"")</f>
        <v>0</v>
      </c>
      <c r="H103" s="46">
        <f>IF(Inputs!$J$12,G103/Inputs!$J$13,"")</f>
        <v>0</v>
      </c>
    </row>
    <row r="104" spans="1:8">
      <c r="A104" s="11" t="s">
        <v>195</v>
      </c>
      <c r="B104" s="44">
        <f>IF(Inputs!C12,SUM(B101:B103),"")</f>
        <v>39.75</v>
      </c>
      <c r="C104" s="44">
        <f>IF(Inputs!D12,SUM(C101:C103),"")</f>
        <v>33.25</v>
      </c>
      <c r="D104" s="44">
        <f>IF(Inputs!E12,SUM(D101:D103),"")</f>
        <v>39.75</v>
      </c>
      <c r="E104" s="44">
        <f>IF(Inputs!F12,SUM(E101:E103),"")</f>
        <v>33.25</v>
      </c>
      <c r="F104" s="44"/>
      <c r="G104" s="44">
        <f>IF(Inputs!$J$12,SUMPRODUCT($B$74:$E$74,B104:E104),"")</f>
        <v>5840</v>
      </c>
      <c r="H104" s="44">
        <f>IF(Inputs!$J$12,G104/Inputs!$J$13,"")</f>
        <v>36.5</v>
      </c>
    </row>
    <row r="105" spans="1:8">
      <c r="A105" s="11"/>
      <c r="B105" s="44"/>
      <c r="C105" s="44"/>
      <c r="D105" s="44"/>
      <c r="E105" s="44"/>
      <c r="F105" s="44"/>
      <c r="G105" s="44"/>
      <c r="H105" s="44"/>
    </row>
    <row r="106" spans="1:8" ht="13.5" thickBot="1">
      <c r="A106" s="108" t="s">
        <v>249</v>
      </c>
      <c r="B106" s="107" t="str">
        <f>IF(Inputs!$C$12,Inputs!$C$11,"")</f>
        <v>Irr Corn</v>
      </c>
      <c r="C106" s="107" t="str">
        <f>IF(Inputs!$D$12,Inputs!$D$11,"")</f>
        <v>Irr Soybeans</v>
      </c>
      <c r="D106" s="107" t="str">
        <f>IF(Inputs!$E$12,Inputs!$E$11,"")</f>
        <v>Dry Corn</v>
      </c>
      <c r="E106" s="107" t="str">
        <f>IF(Inputs!$F$12,Inputs!$F$11,"")</f>
        <v>Dry Soybeans</v>
      </c>
      <c r="F106" s="109"/>
      <c r="G106" s="107" t="s">
        <v>23</v>
      </c>
      <c r="H106" s="196" t="s">
        <v>288</v>
      </c>
    </row>
    <row r="107" spans="1:8">
      <c r="A107" s="45" t="s">
        <v>289</v>
      </c>
      <c r="B107" s="46">
        <f>IF(Inputs!C12,B98+B104,"")</f>
        <v>369.16974999999996</v>
      </c>
      <c r="C107" s="46">
        <f>IF(Inputs!D12,C98+C104,"")</f>
        <v>200.91854999999998</v>
      </c>
      <c r="D107" s="46">
        <f>IF(Inputs!E12,D98+D104,"")</f>
        <v>263.20849999999996</v>
      </c>
      <c r="E107" s="46">
        <f>IF(Inputs!F12,E98+E104,"")</f>
        <v>151.65879999999999</v>
      </c>
      <c r="F107" s="46"/>
      <c r="G107" s="46">
        <f>IF(Inputs!J12,G98+G104,"")</f>
        <v>43278.748999999996</v>
      </c>
      <c r="H107" s="46">
        <f>IF(Inputs!$J$12,G107/Inputs!$J$13,"")</f>
        <v>270.49218124999999</v>
      </c>
    </row>
    <row r="108" spans="1:8">
      <c r="A108" s="45" t="s">
        <v>291</v>
      </c>
      <c r="B108" s="46">
        <f>IF(Inputs!C12,B82-B98,"")</f>
        <v>285.58025000000004</v>
      </c>
      <c r="C108" s="46">
        <f>IF(Inputs!D12,C82-C98,"")</f>
        <v>187.33145000000002</v>
      </c>
      <c r="D108" s="46">
        <f>IF(Inputs!E12,D82-D98,"")</f>
        <v>167.54150000000001</v>
      </c>
      <c r="E108" s="46">
        <f>IF(Inputs!F12,E82-E98,"")</f>
        <v>146.34120000000001</v>
      </c>
      <c r="F108" s="46"/>
      <c r="G108" s="46">
        <f>IF(Inputs!J12,G82-G98,"")</f>
        <v>35447.501000000004</v>
      </c>
      <c r="H108" s="46">
        <f>IF(Inputs!$J$12,G108/Inputs!$J$13,"")</f>
        <v>221.54688125000001</v>
      </c>
    </row>
    <row r="109" spans="1:8">
      <c r="A109" s="11" t="s">
        <v>197</v>
      </c>
      <c r="B109" s="44">
        <f>IF(Inputs!C12,B82-B98-B104,"")</f>
        <v>245.83025000000004</v>
      </c>
      <c r="C109" s="44">
        <f>IF(Inputs!D12,C82-C98-C104,"")</f>
        <v>154.08145000000002</v>
      </c>
      <c r="D109" s="44">
        <f>IF(Inputs!E12,D82-D98-D104,"")</f>
        <v>127.79150000000001</v>
      </c>
      <c r="E109" s="44">
        <f>IF(Inputs!F12,E82-E98-E104,"")</f>
        <v>113.09120000000001</v>
      </c>
      <c r="F109" s="44"/>
      <c r="G109" s="44">
        <f>IF(Inputs!J12,G82-G98-G104,"")</f>
        <v>29607.501000000004</v>
      </c>
      <c r="H109" s="44">
        <f>IF(Inputs!$J$12,G109/Inputs!$J$13,"")</f>
        <v>185.04688125000001</v>
      </c>
    </row>
    <row r="110" spans="1:8">
      <c r="A110" s="11"/>
      <c r="B110" s="44"/>
      <c r="C110" s="44"/>
      <c r="D110" s="44"/>
      <c r="E110" s="44"/>
      <c r="F110" s="44"/>
      <c r="G110" s="44"/>
      <c r="H110" s="44"/>
    </row>
    <row r="111" spans="1:8" ht="13.5" thickBot="1">
      <c r="A111" s="108" t="s">
        <v>250</v>
      </c>
      <c r="B111" s="107" t="str">
        <f>IF(Inputs!$C$12,Inputs!$C$11,"")</f>
        <v>Irr Corn</v>
      </c>
      <c r="C111" s="107" t="str">
        <f>IF(Inputs!$D$12,Inputs!$D$11,"")</f>
        <v>Irr Soybeans</v>
      </c>
      <c r="D111" s="107" t="str">
        <f>IF(Inputs!$E$12,Inputs!$E$11,"")</f>
        <v>Dry Corn</v>
      </c>
      <c r="E111" s="107" t="str">
        <f>IF(Inputs!$F$12,Inputs!$F$11,"")</f>
        <v>Dry Soybeans</v>
      </c>
      <c r="F111" s="109"/>
      <c r="G111" s="107" t="s">
        <v>23</v>
      </c>
      <c r="H111" s="196" t="s">
        <v>288</v>
      </c>
    </row>
    <row r="112" spans="1:8">
      <c r="A112" t="s">
        <v>298</v>
      </c>
      <c r="B112" s="37">
        <f>IF(Inputs!C12,'Share Summary'!B98,"")</f>
        <v>329.41974999999996</v>
      </c>
      <c r="C112" s="37">
        <f>IF(Inputs!D12,'Share Summary'!C98,"")</f>
        <v>167.66854999999998</v>
      </c>
      <c r="D112" s="37">
        <f>IF(Inputs!E12,'Share Summary'!D98,"")</f>
        <v>223.45849999999999</v>
      </c>
      <c r="E112" s="37">
        <f>IF(Inputs!F12,'Share Summary'!E98,"")</f>
        <v>118.4088</v>
      </c>
      <c r="G112" s="46">
        <f>IF(Inputs!J12,SUMPRODUCT($B$74:$E$74,B112:E112),"")</f>
        <v>37438.748999999996</v>
      </c>
      <c r="H112" s="46">
        <f>IF(Inputs!$J$12,G112/Inputs!$J$13,"")</f>
        <v>233.99218124999999</v>
      </c>
    </row>
    <row r="113" spans="1:8">
      <c r="A113" t="s">
        <v>299</v>
      </c>
      <c r="B113" s="37">
        <f>IF(Inputs!C12,'Share Summary'!B104,"")</f>
        <v>39.75</v>
      </c>
      <c r="C113" s="37">
        <f>IF(Inputs!D12,'Share Summary'!C104,"")</f>
        <v>33.25</v>
      </c>
      <c r="D113" s="37">
        <f>IF(Inputs!E12,'Share Summary'!D104,"")</f>
        <v>39.75</v>
      </c>
      <c r="E113" s="37">
        <f>IF(Inputs!F12,'Share Summary'!E104,"")</f>
        <v>33.25</v>
      </c>
      <c r="G113" s="46">
        <f>IF(Inputs!J12,SUMPRODUCT($B$74:$E$74,B113:E113),"")</f>
        <v>5840</v>
      </c>
      <c r="H113" s="46">
        <f>IF(Inputs!$J$12,G113/Inputs!$J$13,"")</f>
        <v>36.5</v>
      </c>
    </row>
    <row r="114" spans="1:8">
      <c r="A114" s="45" t="s">
        <v>301</v>
      </c>
      <c r="B114" s="46">
        <f>IF(Inputs!C12,B112+B113,"")</f>
        <v>369.16974999999996</v>
      </c>
      <c r="C114" s="46">
        <f>IF(Inputs!D12,C112+C113,"")</f>
        <v>200.91854999999998</v>
      </c>
      <c r="D114" s="46">
        <f>IF(Inputs!E12,D112+D113,"")</f>
        <v>263.20849999999996</v>
      </c>
      <c r="E114" s="46">
        <f>IF(Inputs!F12,E112+E113,"")</f>
        <v>151.65879999999999</v>
      </c>
      <c r="F114" s="46"/>
      <c r="G114" s="46">
        <f>IF(Inputs!J12,G112+G113,"")</f>
        <v>43278.748999999996</v>
      </c>
      <c r="H114" s="46">
        <f>IF(Inputs!$J$12,G114/Inputs!$J$13,"")</f>
        <v>270.49218124999999</v>
      </c>
    </row>
    <row r="115" spans="1:8">
      <c r="A115" s="11" t="s">
        <v>241</v>
      </c>
      <c r="B115" s="160">
        <f>IF(Inputs!C12,B114/('Share Summary'!B49+B114),"")</f>
        <v>0.49839231896185288</v>
      </c>
      <c r="C115" s="160">
        <f>IF(Inputs!D12,C114/('Share Summary'!C49+C114),"")</f>
        <v>0.4083486381536322</v>
      </c>
      <c r="D115" s="160">
        <f>IF(Inputs!E12,D114/('Share Summary'!D49+D114),"")</f>
        <v>0.53401225632166294</v>
      </c>
      <c r="E115" s="160">
        <f>IF(Inputs!F12,E114/('Share Summary'!E49+E114),"")</f>
        <v>0.45037384948259751</v>
      </c>
      <c r="G115" s="160">
        <f>IF(Inputs!J12,G114/(G49+G114),"")</f>
        <v>0.46750913246485593</v>
      </c>
      <c r="H115" s="160">
        <f>IF(Inputs!J12,H114/(H49+H114),"")</f>
        <v>0.46750913246485598</v>
      </c>
    </row>
    <row r="116" spans="1:8">
      <c r="A116" s="11"/>
      <c r="B116" s="160"/>
      <c r="C116" s="160"/>
      <c r="D116" s="160"/>
      <c r="E116" s="160"/>
      <c r="G116" s="96"/>
      <c r="H116" s="26"/>
    </row>
    <row r="117" spans="1:8" ht="13.5" thickBot="1">
      <c r="A117" s="106" t="s">
        <v>251</v>
      </c>
      <c r="B117" s="107" t="str">
        <f>IF(Inputs!$C$12,Inputs!$C$11,"")</f>
        <v>Irr Corn</v>
      </c>
      <c r="C117" s="107" t="str">
        <f>IF(Inputs!$D$12,Inputs!$D$11,"")</f>
        <v>Irr Soybeans</v>
      </c>
      <c r="D117" s="107" t="str">
        <f>IF(Inputs!$E$12,Inputs!$E$11,"")</f>
        <v>Dry Corn</v>
      </c>
      <c r="E117" s="107" t="str">
        <f>IF(Inputs!$F$12,Inputs!$F$11,"")</f>
        <v>Dry Soybeans</v>
      </c>
      <c r="F117" s="163"/>
      <c r="G117" s="107" t="s">
        <v>23</v>
      </c>
      <c r="H117" s="196" t="s">
        <v>288</v>
      </c>
    </row>
    <row r="118" spans="1:8">
      <c r="A118" s="11" t="s">
        <v>243</v>
      </c>
      <c r="B118" s="83">
        <f>IF(Inputs!C12,'Share Summary'!B255,"")</f>
        <v>487.51174999999995</v>
      </c>
      <c r="C118" s="83">
        <f>IF(Inputs!D12,'Share Summary'!C255,"")</f>
        <v>307.95474999999999</v>
      </c>
      <c r="D118" s="83">
        <f>IF(Inputs!E12,'Share Summary'!D255,"")</f>
        <v>333.32000000000005</v>
      </c>
      <c r="E118" s="83">
        <f>IF(Inputs!F12,'Share Summary'!E255,"")</f>
        <v>251.66900000000004</v>
      </c>
      <c r="F118" s="28"/>
      <c r="G118" s="83">
        <f>IF(Inputs!J12,'Share Summary'!G255,"")</f>
        <v>60480.157499999987</v>
      </c>
      <c r="H118" s="44">
        <f>IF(Inputs!$J$12,G118/Inputs!$J$13,"")</f>
        <v>378.00098437499992</v>
      </c>
    </row>
    <row r="119" spans="1:8">
      <c r="A119" s="11"/>
      <c r="B119" s="44"/>
      <c r="C119" s="44"/>
      <c r="D119" s="44"/>
      <c r="E119" s="44"/>
      <c r="F119" s="44"/>
      <c r="G119" s="44"/>
      <c r="H119" s="44"/>
    </row>
    <row r="120" spans="1:8" ht="13.5" thickBot="1">
      <c r="A120" s="108" t="s">
        <v>252</v>
      </c>
      <c r="B120" s="107" t="str">
        <f>IF(Inputs!$C$12,Inputs!$C$11,"")</f>
        <v>Irr Corn</v>
      </c>
      <c r="C120" s="107" t="str">
        <f>IF(Inputs!$D$12,Inputs!$D$11,"")</f>
        <v>Irr Soybeans</v>
      </c>
      <c r="D120" s="107" t="str">
        <f>IF(Inputs!$E$12,Inputs!$E$11,"")</f>
        <v>Dry Corn</v>
      </c>
      <c r="E120" s="107" t="str">
        <f>IF(Inputs!$F$12,Inputs!$F$11,"")</f>
        <v>Dry Soybeans</v>
      </c>
      <c r="F120" s="109"/>
      <c r="G120" s="109"/>
      <c r="H120" s="162"/>
    </row>
    <row r="121" spans="1:8">
      <c r="A121" s="45" t="s">
        <v>294</v>
      </c>
      <c r="B121" s="113">
        <f>IF(Inputs!C12,('Share Summary'!B98-SUM('Share Summary'!B80:B81))/'Share Summary'!B78,"")</f>
        <v>58.076318181818174</v>
      </c>
      <c r="C121" s="113">
        <f>IF(Inputs!D12,('Share Summary'!C98-SUM('Share Summary'!C80:C81))/'Share Summary'!C78,"")</f>
        <v>13.710308695652172</v>
      </c>
      <c r="D121" s="113">
        <f>IF(Inputs!E12,('Share Summary'!D98-SUM('Share Summary'!D80:D81))/'Share Summary'!D78,"")</f>
        <v>39.537909090909089</v>
      </c>
      <c r="E121" s="113">
        <f>IF(Inputs!F12,('Share Summary'!E98-SUM('Share Summary'!E80:E81))/'Share Summary'!E78,"")</f>
        <v>9.7746782608695657</v>
      </c>
      <c r="F121" s="26"/>
      <c r="G121" s="96" t="s">
        <v>28</v>
      </c>
      <c r="H121" s="96" t="s">
        <v>28</v>
      </c>
    </row>
    <row r="122" spans="1:8">
      <c r="A122" s="45" t="s">
        <v>295</v>
      </c>
      <c r="B122" s="113">
        <f>IF(Inputs!C12,('Share Summary'!B107-SUM('Share Summary'!B80:B81))/'Share Summary'!B78,"")</f>
        <v>65.3035909090909</v>
      </c>
      <c r="C122" s="113">
        <f>IF(Inputs!D12,('Share Summary'!C107-SUM('Share Summary'!C80:C81))/'Share Summary'!C78,"")</f>
        <v>16.60161304347826</v>
      </c>
      <c r="D122" s="113">
        <f>IF(Inputs!E12,('Share Summary'!D107-SUM('Share Summary'!D80:D81))/'Share Summary'!D78,"")</f>
        <v>46.765181818181809</v>
      </c>
      <c r="E122" s="113">
        <f>IF(Inputs!F12,('Share Summary'!E107-SUM('Share Summary'!E80:E81))/'Share Summary'!E78,"")</f>
        <v>12.665982608695652</v>
      </c>
      <c r="F122" s="26"/>
      <c r="G122" s="96" t="s">
        <v>28</v>
      </c>
      <c r="H122" s="96" t="s">
        <v>28</v>
      </c>
    </row>
    <row r="123" spans="1:8">
      <c r="A123" s="45"/>
      <c r="B123" s="37"/>
      <c r="C123" s="37"/>
      <c r="D123" s="37"/>
      <c r="E123" s="37"/>
      <c r="F123" s="26"/>
      <c r="G123" s="36"/>
      <c r="H123" s="26"/>
    </row>
    <row r="124" spans="1:8">
      <c r="A124" s="45" t="s">
        <v>296</v>
      </c>
      <c r="B124" s="37">
        <f>IF(Inputs!C12,('Share Summary'!B98-SUM('Share Summary'!B80:B81))/'Share Summary'!B77,"")</f>
        <v>2.9038159090909086</v>
      </c>
      <c r="C124" s="37">
        <f>IF(Inputs!D12,('Share Summary'!C98-SUM('Share Summary'!C80:C81))/'Share Summary'!C77,"")</f>
        <v>5.2556183333333326</v>
      </c>
      <c r="D124" s="37">
        <f>IF(Inputs!E12,('Share Summary'!D98-SUM('Share Summary'!D80:D81))/'Share Summary'!D77,"")</f>
        <v>3.1065499999999999</v>
      </c>
      <c r="E124" s="37">
        <f>IF(Inputs!F12,('Share Summary'!E98-SUM('Share Summary'!E80:E81))/'Share Summary'!E77,"")</f>
        <v>4.9959466666666668</v>
      </c>
      <c r="F124" s="26"/>
      <c r="G124" s="96" t="s">
        <v>28</v>
      </c>
      <c r="H124" s="96" t="s">
        <v>28</v>
      </c>
    </row>
    <row r="125" spans="1:8">
      <c r="A125" s="45" t="s">
        <v>297</v>
      </c>
      <c r="B125" s="37">
        <f>IF(Inputs!C12,('Share Summary'!B107-SUM('Share Summary'!B80:B81))/'Share Summary'!B77,"")</f>
        <v>3.2651795454545449</v>
      </c>
      <c r="C125" s="37">
        <f>IF(Inputs!D12,('Share Summary'!C107-SUM('Share Summary'!C80:C81))/'Share Summary'!C77,"")</f>
        <v>6.363951666666666</v>
      </c>
      <c r="D125" s="37">
        <f>IF(Inputs!E12,('Share Summary'!D107-SUM('Share Summary'!D80:D81))/'Share Summary'!D77,"")</f>
        <v>3.6744071428571421</v>
      </c>
      <c r="E125" s="37">
        <f>IF(Inputs!F12,('Share Summary'!E107-SUM('Share Summary'!E80:E81))/'Share Summary'!E77,"")</f>
        <v>6.4737244444444437</v>
      </c>
      <c r="F125" s="26"/>
      <c r="G125" s="96" t="s">
        <v>28</v>
      </c>
      <c r="H125" s="96" t="s">
        <v>28</v>
      </c>
    </row>
    <row r="126" spans="1:8">
      <c r="A126" s="45"/>
      <c r="B126" s="37"/>
      <c r="C126" s="37"/>
      <c r="D126" s="37"/>
      <c r="E126" s="37"/>
      <c r="F126" s="26"/>
      <c r="G126" s="96"/>
      <c r="H126" s="26"/>
    </row>
    <row r="137" spans="2:8">
      <c r="B137" s="26"/>
      <c r="C137" s="26"/>
      <c r="D137" s="26"/>
      <c r="F137" s="26"/>
      <c r="G137" s="26"/>
      <c r="H137" s="26"/>
    </row>
    <row r="138" spans="2:8">
      <c r="B138" s="26"/>
      <c r="C138" s="26"/>
      <c r="D138" s="26"/>
      <c r="F138" s="26"/>
      <c r="G138" s="26"/>
      <c r="H138" s="26"/>
    </row>
    <row r="139" spans="2:8">
      <c r="B139" s="26"/>
      <c r="C139" s="26"/>
      <c r="D139" s="26"/>
      <c r="F139" s="26"/>
      <c r="G139" s="26"/>
      <c r="H139" s="26"/>
    </row>
    <row r="140" spans="2:8">
      <c r="B140" s="26"/>
      <c r="C140" s="26"/>
      <c r="D140" s="26"/>
      <c r="F140" s="26"/>
      <c r="G140" s="26"/>
      <c r="H140" s="26"/>
    </row>
    <row r="141" spans="2:8">
      <c r="B141" s="26"/>
      <c r="C141" s="26"/>
      <c r="D141" s="26"/>
      <c r="F141" s="26"/>
      <c r="G141" s="26"/>
      <c r="H141" s="26"/>
    </row>
    <row r="142" spans="2:8">
      <c r="B142" s="26"/>
      <c r="C142" s="26"/>
      <c r="D142" s="26"/>
      <c r="F142" s="26"/>
      <c r="G142" s="26"/>
      <c r="H142" s="26"/>
    </row>
    <row r="143" spans="2:8">
      <c r="B143" s="26"/>
      <c r="C143" s="26"/>
      <c r="D143" s="26"/>
      <c r="F143" s="26"/>
      <c r="G143" s="26"/>
      <c r="H143" s="26"/>
    </row>
    <row r="144" spans="2:8">
      <c r="B144" s="26"/>
      <c r="C144" s="26"/>
      <c r="D144" s="26"/>
      <c r="F144" s="26"/>
      <c r="G144" s="26"/>
      <c r="H144" s="26"/>
    </row>
    <row r="145" spans="2:8">
      <c r="B145" s="26"/>
      <c r="C145" s="26"/>
      <c r="D145" s="26"/>
      <c r="F145" s="26"/>
      <c r="G145" s="26"/>
      <c r="H145" s="26"/>
    </row>
    <row r="146" spans="2:8">
      <c r="B146" s="26"/>
      <c r="C146" s="26"/>
      <c r="D146" s="26"/>
      <c r="F146" s="26"/>
      <c r="G146" s="26"/>
      <c r="H146" s="26"/>
    </row>
    <row r="147" spans="2:8">
      <c r="B147" s="26"/>
      <c r="C147" s="26"/>
      <c r="D147" s="26"/>
      <c r="F147" s="26"/>
      <c r="G147" s="26"/>
      <c r="H147" s="26"/>
    </row>
    <row r="148" spans="2:8">
      <c r="B148" s="26"/>
      <c r="C148" s="26"/>
      <c r="D148" s="26"/>
      <c r="F148" s="26"/>
      <c r="G148" s="26"/>
      <c r="H148" s="26"/>
    </row>
    <row r="149" spans="2:8">
      <c r="B149" s="26"/>
      <c r="C149" s="26"/>
      <c r="D149" s="26"/>
      <c r="F149" s="26"/>
      <c r="G149" s="26"/>
      <c r="H149" s="26"/>
    </row>
    <row r="150" spans="2:8">
      <c r="B150" s="26"/>
      <c r="C150" s="26"/>
      <c r="D150" s="26"/>
      <c r="F150" s="26"/>
      <c r="G150" s="26"/>
      <c r="H150" s="26"/>
    </row>
    <row r="151" spans="2:8">
      <c r="B151" s="26"/>
      <c r="C151" s="26"/>
      <c r="D151" s="26"/>
      <c r="F151" s="26"/>
      <c r="G151" s="26"/>
      <c r="H151" s="26"/>
    </row>
    <row r="152" spans="2:8">
      <c r="B152" s="26"/>
      <c r="C152" s="26"/>
      <c r="D152" s="26"/>
      <c r="F152" s="26"/>
      <c r="G152" s="26"/>
      <c r="H152" s="26"/>
    </row>
    <row r="153" spans="2:8">
      <c r="B153" s="26"/>
      <c r="C153" s="26"/>
      <c r="D153" s="26"/>
      <c r="F153" s="26"/>
      <c r="G153" s="26"/>
      <c r="H153" s="26"/>
    </row>
    <row r="154" spans="2:8">
      <c r="B154" s="26"/>
      <c r="C154" s="26"/>
      <c r="D154" s="26"/>
      <c r="F154" s="26"/>
      <c r="G154" s="26"/>
      <c r="H154" s="26"/>
    </row>
    <row r="155" spans="2:8">
      <c r="B155" s="26"/>
      <c r="C155" s="26"/>
      <c r="D155" s="26"/>
      <c r="F155" s="26"/>
      <c r="G155" s="26"/>
      <c r="H155" s="26"/>
    </row>
    <row r="156" spans="2:8">
      <c r="B156" s="26"/>
      <c r="C156" s="26"/>
      <c r="D156" s="26"/>
      <c r="F156" s="26"/>
      <c r="G156" s="26"/>
      <c r="H156" s="26"/>
    </row>
    <row r="157" spans="2:8">
      <c r="B157" s="26"/>
      <c r="C157" s="26"/>
      <c r="D157" s="26"/>
      <c r="F157" s="26"/>
      <c r="G157" s="26"/>
      <c r="H157" s="26"/>
    </row>
    <row r="158" spans="2:8">
      <c r="B158" s="26"/>
      <c r="C158" s="26"/>
      <c r="D158" s="26"/>
      <c r="F158" s="26"/>
      <c r="G158" s="26"/>
      <c r="H158" s="26"/>
    </row>
    <row r="159" spans="2:8">
      <c r="B159" s="26"/>
      <c r="C159" s="26"/>
      <c r="D159" s="26"/>
      <c r="F159" s="26"/>
      <c r="G159" s="26"/>
      <c r="H159" s="26"/>
    </row>
    <row r="160" spans="2:8">
      <c r="B160" s="26"/>
      <c r="C160" s="26"/>
      <c r="D160" s="26"/>
      <c r="F160" s="26"/>
      <c r="G160" s="26"/>
      <c r="H160" s="26"/>
    </row>
    <row r="161" spans="2:8">
      <c r="B161" s="26"/>
      <c r="C161" s="26"/>
      <c r="D161" s="26"/>
      <c r="F161" s="26"/>
      <c r="G161" s="26"/>
      <c r="H161" s="26"/>
    </row>
    <row r="162" spans="2:8">
      <c r="B162" s="26"/>
      <c r="C162" s="26"/>
      <c r="D162" s="26"/>
      <c r="F162" s="26"/>
      <c r="G162" s="26"/>
      <c r="H162" s="26"/>
    </row>
    <row r="163" spans="2:8">
      <c r="B163" s="26"/>
      <c r="C163" s="26"/>
      <c r="D163" s="26"/>
      <c r="F163" s="26"/>
      <c r="G163" s="26"/>
      <c r="H163" s="26"/>
    </row>
    <row r="164" spans="2:8">
      <c r="B164" s="26"/>
      <c r="C164" s="26"/>
      <c r="D164" s="26"/>
      <c r="F164" s="26"/>
      <c r="G164" s="26"/>
      <c r="H164" s="26"/>
    </row>
    <row r="165" spans="2:8">
      <c r="B165" s="26"/>
      <c r="C165" s="26"/>
      <c r="D165" s="26"/>
      <c r="F165" s="26"/>
      <c r="G165" s="26"/>
      <c r="H165" s="26"/>
    </row>
    <row r="166" spans="2:8">
      <c r="B166" s="26"/>
      <c r="C166" s="26"/>
      <c r="D166" s="26"/>
      <c r="F166" s="26"/>
      <c r="G166" s="26"/>
      <c r="H166" s="26"/>
    </row>
    <row r="167" spans="2:8">
      <c r="B167" s="26"/>
      <c r="C167" s="26"/>
      <c r="D167" s="26"/>
      <c r="F167" s="26"/>
      <c r="G167" s="26"/>
      <c r="H167" s="26"/>
    </row>
    <row r="168" spans="2:8">
      <c r="B168" s="26"/>
      <c r="C168" s="26"/>
      <c r="D168" s="26"/>
      <c r="F168" s="26"/>
      <c r="G168" s="26"/>
      <c r="H168" s="26"/>
    </row>
    <row r="169" spans="2:8">
      <c r="B169" s="26"/>
      <c r="C169" s="26"/>
      <c r="D169" s="26"/>
      <c r="F169" s="26"/>
      <c r="G169" s="26"/>
      <c r="H169" s="26"/>
    </row>
    <row r="170" spans="2:8">
      <c r="B170" s="26"/>
      <c r="C170" s="26"/>
      <c r="D170" s="26"/>
      <c r="F170" s="26"/>
      <c r="G170" s="26"/>
      <c r="H170" s="26"/>
    </row>
    <row r="171" spans="2:8">
      <c r="B171" s="26"/>
      <c r="C171" s="26"/>
      <c r="D171" s="26"/>
      <c r="F171" s="26"/>
      <c r="G171" s="26"/>
      <c r="H171" s="26"/>
    </row>
    <row r="172" spans="2:8">
      <c r="B172" s="26"/>
      <c r="C172" s="26"/>
      <c r="D172" s="26"/>
      <c r="F172" s="26"/>
      <c r="G172" s="26"/>
      <c r="H172" s="26"/>
    </row>
    <row r="173" spans="2:8">
      <c r="B173" s="26"/>
      <c r="C173" s="26"/>
      <c r="D173" s="26"/>
      <c r="F173" s="26"/>
      <c r="G173" s="26"/>
      <c r="H173" s="26"/>
    </row>
    <row r="174" spans="2:8">
      <c r="B174" s="26"/>
      <c r="C174" s="26"/>
      <c r="D174" s="26"/>
      <c r="F174" s="26"/>
      <c r="G174" s="26"/>
      <c r="H174" s="26"/>
    </row>
    <row r="175" spans="2:8">
      <c r="B175" s="26"/>
      <c r="C175" s="26"/>
      <c r="D175" s="26"/>
      <c r="F175" s="26"/>
      <c r="G175" s="26"/>
      <c r="H175" s="26"/>
    </row>
    <row r="176" spans="2:8">
      <c r="B176" s="26"/>
      <c r="C176" s="26"/>
      <c r="D176" s="26"/>
      <c r="F176" s="26"/>
      <c r="G176" s="26"/>
      <c r="H176" s="26"/>
    </row>
    <row r="177" spans="2:8">
      <c r="B177" s="26"/>
      <c r="C177" s="26"/>
      <c r="D177" s="26"/>
      <c r="F177" s="26"/>
      <c r="G177" s="26"/>
      <c r="H177" s="26"/>
    </row>
    <row r="178" spans="2:8">
      <c r="B178" s="26"/>
      <c r="C178" s="26"/>
      <c r="D178" s="26"/>
      <c r="F178" s="26"/>
      <c r="G178" s="26"/>
      <c r="H178" s="26"/>
    </row>
    <row r="179" spans="2:8">
      <c r="B179" s="26"/>
      <c r="C179" s="26"/>
      <c r="D179" s="26"/>
      <c r="F179" s="26"/>
      <c r="G179" s="26"/>
      <c r="H179" s="26"/>
    </row>
    <row r="180" spans="2:8">
      <c r="H180" s="26"/>
    </row>
    <row r="181" spans="2:8">
      <c r="H181" s="26"/>
    </row>
    <row r="182" spans="2:8">
      <c r="H182" s="26"/>
    </row>
    <row r="223" spans="1:1">
      <c r="A223" s="11" t="s">
        <v>173</v>
      </c>
    </row>
    <row r="224" spans="1:1">
      <c r="A224" s="11"/>
    </row>
    <row r="225" spans="1:7">
      <c r="A225" s="11" t="s">
        <v>154</v>
      </c>
    </row>
    <row r="226" spans="1:7" ht="5.25" customHeight="1"/>
    <row r="227" spans="1:7">
      <c r="A227" s="11" t="s">
        <v>210</v>
      </c>
      <c r="B227" s="31" t="str">
        <f>Inputs!$C$11</f>
        <v>Irr Corn</v>
      </c>
      <c r="C227" s="31" t="str">
        <f>Inputs!$D$11</f>
        <v>Irr Soybeans</v>
      </c>
      <c r="D227" s="31" t="str">
        <f>Inputs!$E$11</f>
        <v>Dry Corn</v>
      </c>
      <c r="E227" s="31" t="str">
        <f>Inputs!$F$11</f>
        <v>Dry Soybeans</v>
      </c>
      <c r="G227" s="35" t="s">
        <v>23</v>
      </c>
    </row>
    <row r="228" spans="1:7">
      <c r="A228" t="s">
        <v>211</v>
      </c>
      <c r="B228" s="77">
        <f>SUM(B85:B95)+(B96*Inputs!$C$170)</f>
        <v>319.82499999999999</v>
      </c>
      <c r="C228" s="77">
        <f>SUM(C85:C95)+(C96*Inputs!$C$170)</f>
        <v>162.785</v>
      </c>
      <c r="D228" s="77">
        <f>SUM(D85:D95)+(D96*Inputs!$C$170)</f>
        <v>216.95</v>
      </c>
      <c r="E228" s="77">
        <f>SUM(E85:E95)+(E96*Inputs!$C$170)</f>
        <v>114.96</v>
      </c>
      <c r="G228" s="37">
        <f>SUMPRODUCT(Inputs!$B$67:$E$67,B228:E228)</f>
        <v>3159.96875</v>
      </c>
    </row>
    <row r="229" spans="1:7">
      <c r="A229" t="s">
        <v>212</v>
      </c>
      <c r="B229" s="37">
        <f>B228*Inputs!$C$174*(Inputs!$C$175/12)</f>
        <v>9.5947499999999994</v>
      </c>
      <c r="C229" s="37">
        <f>C228*Inputs!$C$174*(Inputs!$C$175/12)</f>
        <v>4.8835499999999996</v>
      </c>
      <c r="D229" s="37">
        <f>D228*Inputs!$C$174*(Inputs!$C$175/12)</f>
        <v>6.5084999999999997</v>
      </c>
      <c r="E229" s="37">
        <f>E228*Inputs!$C$174*(Inputs!$C$175/12)</f>
        <v>3.4487999999999999</v>
      </c>
      <c r="G229" s="37">
        <f>SUMPRODUCT(Inputs!$B$67:$E$67,B229:E229)</f>
        <v>94.799062499999991</v>
      </c>
    </row>
    <row r="231" spans="1:7">
      <c r="A231" s="11" t="s">
        <v>153</v>
      </c>
    </row>
    <row r="232" spans="1:7" ht="6" customHeight="1"/>
    <row r="233" spans="1:7">
      <c r="A233" s="11" t="s">
        <v>210</v>
      </c>
      <c r="B233" s="31" t="str">
        <f>Inputs!$C$11</f>
        <v>Irr Corn</v>
      </c>
      <c r="C233" s="31" t="str">
        <f>Inputs!$D$11</f>
        <v>Irr Soybeans</v>
      </c>
      <c r="D233" s="31" t="str">
        <f>Inputs!$E$11</f>
        <v>Dry Corn</v>
      </c>
      <c r="E233" s="31" t="str">
        <f>Inputs!$F$11</f>
        <v>Dry Soybeans</v>
      </c>
      <c r="G233" s="35" t="s">
        <v>23</v>
      </c>
    </row>
    <row r="234" spans="1:7">
      <c r="A234" t="s">
        <v>211</v>
      </c>
      <c r="B234" s="37">
        <f>SUM(B19:B29)</f>
        <v>123.77500000000001</v>
      </c>
      <c r="C234" s="37">
        <f>SUM(C19:C29)</f>
        <v>45.675000000000004</v>
      </c>
      <c r="D234" s="37">
        <f>SUM(D19:D29)</f>
        <v>56</v>
      </c>
      <c r="E234" s="37">
        <f>SUM(E19:E29)</f>
        <v>12.7</v>
      </c>
      <c r="F234" s="26"/>
      <c r="G234" s="37">
        <f>SUMPRODUCT(Inputs!$B$12:$E$12,B234:E234)</f>
        <v>6799.375</v>
      </c>
    </row>
    <row r="235" spans="1:7">
      <c r="A235" s="45" t="s">
        <v>212</v>
      </c>
      <c r="B235" s="37">
        <f>B234*Inputs!$C$174*(Inputs!$C$175/12)</f>
        <v>3.7132499999999999</v>
      </c>
      <c r="C235" s="37">
        <f>C234*Inputs!$C$174*(Inputs!$C$175/12)</f>
        <v>1.37025</v>
      </c>
      <c r="D235" s="37">
        <f>D234*Inputs!$C$174*(Inputs!$C$175/12)</f>
        <v>1.68</v>
      </c>
      <c r="E235" s="37">
        <f>E234*Inputs!$C$174*(Inputs!$C$175/12)</f>
        <v>0.38099999999999995</v>
      </c>
      <c r="F235" s="26"/>
      <c r="G235" s="37">
        <f>SUMPRODUCT(Inputs!$B$12:$E$12,B235:E235)</f>
        <v>203.98125000000002</v>
      </c>
    </row>
    <row r="238" spans="1:7">
      <c r="A238" s="11" t="s">
        <v>173</v>
      </c>
    </row>
    <row r="240" spans="1:7">
      <c r="A240" s="11" t="s">
        <v>253</v>
      </c>
    </row>
    <row r="241" spans="1:7">
      <c r="A241" s="11" t="s">
        <v>8</v>
      </c>
      <c r="B241" s="68" t="str">
        <f>Inputs!C11</f>
        <v>Irr Corn</v>
      </c>
      <c r="C241" s="68" t="str">
        <f>Inputs!D11</f>
        <v>Irr Soybeans</v>
      </c>
      <c r="D241" s="68" t="str">
        <f>Inputs!E11</f>
        <v>Dry Corn</v>
      </c>
      <c r="E241" s="68" t="str">
        <f>Inputs!F11</f>
        <v>Dry Soybeans</v>
      </c>
      <c r="G241" s="68" t="s">
        <v>23</v>
      </c>
    </row>
    <row r="242" spans="1:7">
      <c r="A242" t="s">
        <v>254</v>
      </c>
      <c r="B242" s="82">
        <f>'Share Summary'!B43</f>
        <v>387.4485631868132</v>
      </c>
      <c r="C242" s="82">
        <f>'Share Summary'!C43</f>
        <v>207.89156318681319</v>
      </c>
      <c r="D242" s="82">
        <f>'Share Summary'!D43</f>
        <v>305.32</v>
      </c>
      <c r="E242" s="82">
        <f>'Share Summary'!E43</f>
        <v>223.66900000000001</v>
      </c>
      <c r="G242" s="82">
        <f>'Share Summary'!G43</f>
        <v>46631.943214285711</v>
      </c>
    </row>
    <row r="243" spans="1:7">
      <c r="A243" t="s">
        <v>255</v>
      </c>
      <c r="B243" s="82">
        <f>'Cash Summary'!B17</f>
        <v>100.06318681318682</v>
      </c>
      <c r="C243" s="82">
        <f>'Cash Summary'!C17</f>
        <v>100.06318681318682</v>
      </c>
      <c r="D243" s="82">
        <f>'Cash Summary'!D17</f>
        <v>28</v>
      </c>
      <c r="E243" s="82">
        <f>'Cash Summary'!E17</f>
        <v>28</v>
      </c>
      <c r="G243" s="82">
        <f>'Cash Summary'!G17</f>
        <v>13848.214285714286</v>
      </c>
    </row>
    <row r="244" spans="1:7">
      <c r="A244" t="s">
        <v>256</v>
      </c>
      <c r="B244" s="82">
        <f>(B243+B242)/Inputs!C13</f>
        <v>487.51175000000001</v>
      </c>
      <c r="C244" s="82">
        <f>(C243+C242)/Inputs!D13</f>
        <v>307.95474999999999</v>
      </c>
      <c r="D244" s="82">
        <f>(D243+D242)/Inputs!E13</f>
        <v>333.32</v>
      </c>
      <c r="E244" s="82">
        <f>(E243+E242)/Inputs!F13</f>
        <v>251.66900000000001</v>
      </c>
      <c r="G244" s="82">
        <f>G243+G242</f>
        <v>60480.157500000001</v>
      </c>
    </row>
    <row r="245" spans="1:7">
      <c r="A245" t="s">
        <v>257</v>
      </c>
      <c r="G245" s="82">
        <f>G244/Inputs!J13</f>
        <v>378.00098437500003</v>
      </c>
    </row>
    <row r="247" spans="1:7">
      <c r="A247" s="11" t="s">
        <v>253</v>
      </c>
    </row>
    <row r="248" spans="1:7">
      <c r="A248" s="11" t="s">
        <v>9</v>
      </c>
      <c r="B248" s="68" t="str">
        <f>Inputs!C11</f>
        <v>Irr Corn</v>
      </c>
      <c r="C248" s="68" t="str">
        <f>Inputs!D11</f>
        <v>Irr Soybeans</v>
      </c>
      <c r="D248" s="68" t="str">
        <f>Inputs!E11</f>
        <v>Dry Corn</v>
      </c>
      <c r="E248" s="68" t="str">
        <f>Inputs!F11</f>
        <v>Dry Soybeans</v>
      </c>
      <c r="G248" s="68" t="s">
        <v>23</v>
      </c>
    </row>
    <row r="249" spans="1:7">
      <c r="A249" t="s">
        <v>254</v>
      </c>
      <c r="B249" s="82">
        <f>'Cash Summary'!B44</f>
        <v>1230</v>
      </c>
      <c r="C249" s="82">
        <f>'Cash Summary'!C44</f>
        <v>710</v>
      </c>
      <c r="D249" s="82">
        <f>'Cash Summary'!D44</f>
        <v>782</v>
      </c>
      <c r="E249" s="82">
        <f>'Cash Summary'!E44</f>
        <v>529.5</v>
      </c>
      <c r="G249" s="82">
        <f>'Cash Summary'!G44</f>
        <v>145772.5</v>
      </c>
    </row>
    <row r="250" spans="1:7">
      <c r="A250" t="s">
        <v>258</v>
      </c>
      <c r="B250" s="82">
        <f>SUM('Cash Summary'!B47:B57)</f>
        <v>443.6</v>
      </c>
      <c r="C250" s="82">
        <f>SUM('Cash Summary'!C47:C57)</f>
        <v>208.45999999999998</v>
      </c>
      <c r="D250" s="82">
        <f>SUM('Cash Summary'!D47:D57)</f>
        <v>272.95</v>
      </c>
      <c r="E250" s="82">
        <f>SUM('Cash Summary'!E47:E57)</f>
        <v>127.66</v>
      </c>
      <c r="G250" s="82">
        <f>SUM('Cash Summary'!G47:G57)</f>
        <v>48393.05</v>
      </c>
    </row>
    <row r="251" spans="1:7">
      <c r="A251" t="s">
        <v>259</v>
      </c>
      <c r="B251" s="82">
        <f>B250*(Inputs!$C$174)*(Inputs!$C$175/12)</f>
        <v>13.308</v>
      </c>
      <c r="C251" s="82">
        <f>C250*(Inputs!$C$174)*(Inputs!$C$175/12)</f>
        <v>6.2537999999999991</v>
      </c>
      <c r="D251" s="82">
        <f>D250*(Inputs!$C$174)*(Inputs!$C$175/12)</f>
        <v>8.1884999999999994</v>
      </c>
      <c r="E251" s="82">
        <f>E250*(Inputs!$C$174)*(Inputs!$C$175/12)</f>
        <v>3.8297999999999996</v>
      </c>
      <c r="G251" s="82">
        <f>G250*(Inputs!$C$174)*(Inputs!$C$175/12)</f>
        <v>1451.7915</v>
      </c>
    </row>
    <row r="252" spans="1:7">
      <c r="A252" t="s">
        <v>255</v>
      </c>
      <c r="B252" s="82">
        <f>'Cash Summary'!B65</f>
        <v>39.75</v>
      </c>
      <c r="C252" s="82">
        <f>'Cash Summary'!C65</f>
        <v>33.25</v>
      </c>
      <c r="D252" s="82">
        <f>'Cash Summary'!D65</f>
        <v>39.75</v>
      </c>
      <c r="E252" s="82">
        <f>'Cash Summary'!E65</f>
        <v>33.25</v>
      </c>
      <c r="G252" s="82">
        <f>'Cash Summary'!G65</f>
        <v>5840</v>
      </c>
    </row>
    <row r="253" spans="1:7">
      <c r="A253" t="s">
        <v>260</v>
      </c>
      <c r="B253" s="82">
        <f>B249-B250-B251-B252</f>
        <v>733.34199999999998</v>
      </c>
      <c r="C253" s="82">
        <f>C249-C250-C251-C252</f>
        <v>462.03620000000001</v>
      </c>
      <c r="D253" s="82">
        <f>D249-D250-D251-D252</f>
        <v>461.11150000000004</v>
      </c>
      <c r="E253" s="82">
        <f>E249-E250-E251-E252</f>
        <v>364.76020000000005</v>
      </c>
      <c r="G253" s="82">
        <f>G249-G250-G251-G252</f>
        <v>90087.65849999999</v>
      </c>
    </row>
    <row r="254" spans="1:7">
      <c r="A254" t="s">
        <v>261</v>
      </c>
      <c r="B254" s="82">
        <f>'Share Summary'!B109</f>
        <v>245.83025000000004</v>
      </c>
      <c r="C254" s="82">
        <f>'Share Summary'!C109</f>
        <v>154.08145000000002</v>
      </c>
      <c r="D254" s="82">
        <f>'Share Summary'!D109</f>
        <v>127.79150000000001</v>
      </c>
      <c r="E254" s="82">
        <f>'Share Summary'!E109</f>
        <v>113.09120000000001</v>
      </c>
      <c r="G254" s="82">
        <f>'Share Summary'!G109</f>
        <v>29607.501000000004</v>
      </c>
    </row>
    <row r="255" spans="1:7">
      <c r="A255" t="s">
        <v>256</v>
      </c>
      <c r="B255" s="82">
        <f>(B253-B254)/Inputs!C13</f>
        <v>487.51174999999995</v>
      </c>
      <c r="C255" s="82">
        <f>(C253-C254)/Inputs!D13</f>
        <v>307.95474999999999</v>
      </c>
      <c r="D255" s="82">
        <f>(D253-D254)/Inputs!E13</f>
        <v>333.32000000000005</v>
      </c>
      <c r="E255" s="82">
        <f>(E253-E254)/Inputs!F13</f>
        <v>251.66900000000004</v>
      </c>
      <c r="G255" s="82">
        <f>G253-G254</f>
        <v>60480.157499999987</v>
      </c>
    </row>
    <row r="256" spans="1:7">
      <c r="A256" t="s">
        <v>257</v>
      </c>
      <c r="G256" s="47">
        <f>G255/Inputs!J13</f>
        <v>378.00098437499992</v>
      </c>
    </row>
  </sheetData>
  <sheetProtection password="C1B5" sheet="1" objects="1" scenarios="1"/>
  <mergeCells count="2">
    <mergeCell ref="A1:H1"/>
    <mergeCell ref="A68:H68"/>
  </mergeCells>
  <phoneticPr fontId="0" type="noConversion"/>
  <pageMargins left="0.75" right="0.75" top="0.55000000000000004" bottom="0.55000000000000004" header="0.5" footer="0.5"/>
  <pageSetup scale="98" orientation="landscape" horizontalDpi="300" verticalDpi="300" r:id="rId1"/>
  <headerFooter alignWithMargins="0"/>
  <rowBreaks count="3" manualBreakCount="3">
    <brk id="39" max="7" man="1"/>
    <brk id="67" max="8" man="1"/>
    <brk id="104" max="7" man="1"/>
  </rowBreaks>
  <legacyDrawing r:id="rId2"/>
</worksheet>
</file>

<file path=xl/worksheets/sheet7.xml><?xml version="1.0" encoding="utf-8"?>
<worksheet xmlns="http://schemas.openxmlformats.org/spreadsheetml/2006/main" xmlns:r="http://schemas.openxmlformats.org/officeDocument/2006/relationships">
  <sheetPr codeName="Sheet9"/>
  <dimension ref="A1:L358"/>
  <sheetViews>
    <sheetView topLeftCell="A160" zoomScaleNormal="100" workbookViewId="0">
      <selection activeCell="A2" sqref="A2"/>
    </sheetView>
  </sheetViews>
  <sheetFormatPr defaultRowHeight="12.75"/>
  <cols>
    <col min="1" max="1" width="3.140625" customWidth="1"/>
    <col min="2" max="2" width="7.140625" customWidth="1"/>
    <col min="3" max="4" width="10.85546875" bestFit="1" customWidth="1"/>
    <col min="5" max="5" width="11.28515625" bestFit="1" customWidth="1"/>
    <col min="6" max="9" width="10.7109375" customWidth="1"/>
    <col min="10" max="10" width="4.140625" customWidth="1"/>
    <col min="12" max="12" width="10.7109375" bestFit="1" customWidth="1"/>
  </cols>
  <sheetData>
    <row r="1" spans="1:10" ht="18.75" thickBot="1">
      <c r="A1" s="92" t="s">
        <v>262</v>
      </c>
      <c r="B1" s="72"/>
      <c r="C1" s="72"/>
      <c r="D1" s="164"/>
      <c r="E1" s="72"/>
      <c r="F1" s="72"/>
      <c r="G1" s="72"/>
      <c r="H1" s="72"/>
      <c r="I1" s="161"/>
      <c r="J1" s="72"/>
    </row>
    <row r="3" spans="1:10" ht="15">
      <c r="A3" s="105" t="str">
        <f>Inputs!B4</f>
        <v>Average Joe Landowner</v>
      </c>
    </row>
    <row r="4" spans="1:10" ht="15">
      <c r="A4" s="105" t="str">
        <f>Inputs!B9</f>
        <v>Pivot Irrigated Quarter Section with Dryland Corners</v>
      </c>
    </row>
    <row r="6" spans="1:10" ht="15">
      <c r="A6" s="118" t="s">
        <v>263</v>
      </c>
      <c r="B6" s="18"/>
      <c r="C6" s="18"/>
      <c r="D6" s="18"/>
      <c r="E6" s="18"/>
      <c r="F6" s="18"/>
      <c r="G6" s="18"/>
      <c r="H6" s="18"/>
      <c r="I6" s="18"/>
      <c r="J6" s="18"/>
    </row>
    <row r="7" spans="1:10" ht="15">
      <c r="A7" s="118" t="s">
        <v>264</v>
      </c>
      <c r="B7" s="18"/>
      <c r="C7" s="18"/>
      <c r="D7" s="18"/>
      <c r="E7" s="18"/>
      <c r="F7" s="18"/>
      <c r="G7" s="18"/>
      <c r="H7" s="18"/>
      <c r="I7" s="18"/>
      <c r="J7" s="18"/>
    </row>
    <row r="8" spans="1:10" ht="13.5" thickBot="1">
      <c r="B8" s="119"/>
      <c r="C8" s="119"/>
      <c r="D8" s="120"/>
      <c r="E8" s="119"/>
      <c r="F8" s="119"/>
      <c r="G8" s="119"/>
      <c r="H8" s="119"/>
      <c r="I8" s="119"/>
      <c r="J8" s="18"/>
    </row>
    <row r="9" spans="1:10">
      <c r="B9" s="121"/>
      <c r="C9" s="122"/>
      <c r="D9" s="274" t="s">
        <v>226</v>
      </c>
      <c r="E9" s="276" t="s">
        <v>227</v>
      </c>
      <c r="F9" s="276"/>
      <c r="G9" s="165" t="s">
        <v>228</v>
      </c>
      <c r="H9" s="276" t="s">
        <v>229</v>
      </c>
      <c r="I9" s="289"/>
    </row>
    <row r="10" spans="1:10">
      <c r="B10" s="124"/>
      <c r="C10" s="125"/>
      <c r="D10" s="275"/>
      <c r="E10" s="126">
        <v>0.25</v>
      </c>
      <c r="F10" s="127">
        <v>0.1</v>
      </c>
      <c r="G10" s="166"/>
      <c r="H10" s="127">
        <v>0.1</v>
      </c>
      <c r="I10" s="129">
        <v>0.25</v>
      </c>
    </row>
    <row r="11" spans="1:10" ht="11.25" customHeight="1">
      <c r="B11" s="124"/>
      <c r="C11" s="125"/>
      <c r="D11" s="130" t="str">
        <f>IF(Inputs!$C$12,Inputs!$C$11,"")</f>
        <v>Irr Corn</v>
      </c>
      <c r="E11" s="131">
        <f>IF(Inputs!$C$12,'Share Summary'!$B$10*0.75,"")</f>
        <v>82.5</v>
      </c>
      <c r="F11" s="131">
        <f>IF(Inputs!$C$12,'Share Summary'!$B$10*0.9,"")</f>
        <v>99</v>
      </c>
      <c r="G11" s="167">
        <f>IF(Inputs!$C$12,'Share Summary'!$B$10,"")</f>
        <v>110</v>
      </c>
      <c r="H11" s="131">
        <f>IF(Inputs!$C$12,'Share Summary'!$B$10*1.1,"")</f>
        <v>121.00000000000001</v>
      </c>
      <c r="I11" s="133">
        <f>IF(Inputs!$C$12,'Share Summary'!$B$10*1.25,"")</f>
        <v>137.5</v>
      </c>
    </row>
    <row r="12" spans="1:10" ht="11.25" customHeight="1">
      <c r="B12" s="124"/>
      <c r="C12" s="125"/>
      <c r="D12" s="130" t="str">
        <f>IF(Inputs!$D$12,Inputs!$D$11,"")</f>
        <v>Irr Soybeans</v>
      </c>
      <c r="E12" s="131">
        <f>IF(Inputs!$D$12,'Share Summary'!$C$10*0.75,"")</f>
        <v>22.5</v>
      </c>
      <c r="F12" s="131">
        <f>IF(Inputs!$D$12,'Share Summary'!$C$10*0.9,"")</f>
        <v>27</v>
      </c>
      <c r="G12" s="167">
        <f>IF(Inputs!$D$12,'Share Summary'!$C$10,"")</f>
        <v>30</v>
      </c>
      <c r="H12" s="131">
        <f>IF(Inputs!$D$12,'Share Summary'!$C$10*1.1,"")</f>
        <v>33</v>
      </c>
      <c r="I12" s="133">
        <f>IF(Inputs!$D$12,'Share Summary'!$C$10*1.25,"")</f>
        <v>37.5</v>
      </c>
    </row>
    <row r="13" spans="1:10" ht="11.25" customHeight="1">
      <c r="B13" s="124"/>
      <c r="C13" s="125"/>
      <c r="D13" s="130" t="str">
        <f>IF(Inputs!$E$12,Inputs!$E$11,"")</f>
        <v>Dry Corn</v>
      </c>
      <c r="E13" s="131">
        <f>IF(Inputs!$E$12,'Share Summary'!$D$10*0.75,"")</f>
        <v>52.5</v>
      </c>
      <c r="F13" s="131">
        <f>IF(Inputs!$E$12,'Share Summary'!$D$10*0.9,"")</f>
        <v>63</v>
      </c>
      <c r="G13" s="167">
        <f>IF(Inputs!$E$12,'Share Summary'!$D$10,"")</f>
        <v>70</v>
      </c>
      <c r="H13" s="131">
        <f>IF(Inputs!$E$12,'Share Summary'!$D$10*1.1,"")</f>
        <v>77</v>
      </c>
      <c r="I13" s="133">
        <f>IF(Inputs!$E$12,'Share Summary'!$D$10*1.25,"")</f>
        <v>87.5</v>
      </c>
    </row>
    <row r="14" spans="1:10" ht="11.25" customHeight="1">
      <c r="B14" s="280" t="s">
        <v>230</v>
      </c>
      <c r="C14" s="281"/>
      <c r="D14" s="134" t="str">
        <f>IF(Inputs!$F$12,Inputs!$F$11,"")</f>
        <v>Dry Soybeans</v>
      </c>
      <c r="E14" s="131">
        <f>IF(Inputs!$F$12,'Share Summary'!$E$10*0.75,"")</f>
        <v>16.875</v>
      </c>
      <c r="F14" s="131">
        <f>IF(Inputs!$F$12,'Share Summary'!$E$10*0.9,"")</f>
        <v>20.25</v>
      </c>
      <c r="G14" s="167">
        <f>IF(Inputs!$F$12,'Share Summary'!$E$10,"")</f>
        <v>22.5</v>
      </c>
      <c r="H14" s="131">
        <f>IF(Inputs!$F$12,'Share Summary'!$E$10*1.1,"")</f>
        <v>24.750000000000004</v>
      </c>
      <c r="I14" s="133">
        <f>IF(Inputs!$F$12,'Share Summary'!$E$10*1.25,"")</f>
        <v>28.125</v>
      </c>
    </row>
    <row r="15" spans="1:10">
      <c r="B15" s="135"/>
      <c r="C15" s="136" t="str">
        <f>IF(Inputs!$C$12,Inputs!$C$11,"")</f>
        <v>Irr Corn</v>
      </c>
      <c r="D15" s="235">
        <f>IF(Inputs!$C$12,Inputs!$C$18*0.75,"")</f>
        <v>4.125</v>
      </c>
      <c r="E15" s="277">
        <f>IF(Inputs!$J$12,(SUMPRODUCT(D15:D18,$E$11:$E$14,$F$349:$F$352)+SUM('Share Summary'!$G$13:$G$15)-'Share Summary'!$G$31+($E$10*'Share Summary'!$G$29)+('Share Sensitivity'!$E$10*'Share Summary'!$G$29*(Inputs!$C$174*(Inputs!$C$175/12))))/Inputs!J13,"")</f>
        <v>186.01474023437501</v>
      </c>
      <c r="F15" s="277">
        <f>IF(Inputs!$J$12,(SUMPRODUCT(D15:D18,$F$11:$F$14,$F$349:$F$352)+SUM('Share Summary'!$G$13:$G$15)-'Share Summary'!$G$31+($F$10*'Share Summary'!$G$29)+('Share Sensitivity'!$F$10*'Share Summary'!$G$29*(Inputs!$C$174*(Inputs!$C$175/12))))/Inputs!J13,"")</f>
        <v>234.26312734375</v>
      </c>
      <c r="G15" s="300">
        <f>IF(Inputs!$J$12,(SUMPRODUCT(D15:D18,$G$11:$G$14,$F$349:$F$352)+SUM('Share Summary'!$G$13:$G$15)-'Share Summary'!$G$31)/Inputs!J13,"")</f>
        <v>266.42871875000003</v>
      </c>
      <c r="H15" s="277">
        <f>IF(Inputs!$J$12,(SUMPRODUCT(D15:D18,$H$11:$H$14,$F$349:$F$352)+SUM('Share Summary'!$G$13:$G$15)-'Share Summary'!$G$31-($H$10*'Share Summary'!$G$29)-('Share Sensitivity'!$H$10*'Share Summary'!$G$29*(Inputs!$C$174*(Inputs!$C$175/12))))/Inputs!J13,"")</f>
        <v>298.59431015625</v>
      </c>
      <c r="I15" s="285">
        <f>IF(Inputs!$J$12,(SUMPRODUCT(D15:D18,$I$11:$I$14,$F$349:$F$352)+SUM('Share Summary'!$G$13:$G$15)-'Share Summary'!$G$31-($I$10*'Share Summary'!$G$29)-('Share Sensitivity'!$I$10*'Share Summary'!$G$29*(Inputs!$C$174*(Inputs!$C$175/12))))/Inputs!J13,"")</f>
        <v>346.84269726562502</v>
      </c>
    </row>
    <row r="16" spans="1:10">
      <c r="B16" s="138">
        <v>0.25</v>
      </c>
      <c r="C16" s="139" t="str">
        <f>IF(Inputs!$D$12,Inputs!$D$11,"")</f>
        <v>Irr Soybeans</v>
      </c>
      <c r="D16" s="235">
        <f>IF(Inputs!$D$12,Inputs!$D$18*0.75,"")</f>
        <v>8.625</v>
      </c>
      <c r="E16" s="278"/>
      <c r="F16" s="278"/>
      <c r="G16" s="301"/>
      <c r="H16" s="278"/>
      <c r="I16" s="286"/>
    </row>
    <row r="17" spans="2:9">
      <c r="B17" s="138" t="s">
        <v>227</v>
      </c>
      <c r="C17" s="139" t="str">
        <f>IF(Inputs!$E$12,Inputs!$E$11,"")</f>
        <v>Dry Corn</v>
      </c>
      <c r="D17" s="235">
        <f>IF(Inputs!$E$12,Inputs!$E$18*0.75,"")</f>
        <v>4.125</v>
      </c>
      <c r="E17" s="278"/>
      <c r="F17" s="278"/>
      <c r="G17" s="301"/>
      <c r="H17" s="278"/>
      <c r="I17" s="286"/>
    </row>
    <row r="18" spans="2:9">
      <c r="B18" s="140"/>
      <c r="C18" s="141" t="str">
        <f>IF(Inputs!$F$12,Inputs!$F$11,"")</f>
        <v>Dry Soybeans</v>
      </c>
      <c r="D18" s="236">
        <f>IF(Inputs!$F$12,Inputs!$F$18*0.75,"")</f>
        <v>8.625</v>
      </c>
      <c r="E18" s="278"/>
      <c r="F18" s="278"/>
      <c r="G18" s="301"/>
      <c r="H18" s="278"/>
      <c r="I18" s="286"/>
    </row>
    <row r="19" spans="2:9">
      <c r="B19" s="143"/>
      <c r="C19" s="139" t="str">
        <f>IF(Inputs!$C$12,Inputs!$C$11,"")</f>
        <v>Irr Corn</v>
      </c>
      <c r="D19" s="235">
        <f>IF(Inputs!$C$12,Inputs!$C$18*0.9,"")</f>
        <v>4.95</v>
      </c>
      <c r="E19" s="277">
        <f>IF(Inputs!$J$12,(SUMPRODUCT(D19:D22,$E$11:$E$14,$F$349:$F$352)+SUM('Share Summary'!$G$13:$G$15)-'Share Summary'!$G$31+($E$10*'Share Summary'!$G$29)+('Share Sensitivity'!$E$10*'Share Summary'!$G$29*(Inputs!$C$174*(Inputs!$C$175/12))))/Inputs!J13,"")</f>
        <v>236.22225976562498</v>
      </c>
      <c r="F19" s="277">
        <f>IF(Inputs!$J$12,(SUMPRODUCT(D19:D22,$F$11:$F$14,$F$349:$F$352)+SUM('Share Summary'!$G$13:$G$15)-'Share Summary'!$G$31+($F$10*'Share Summary'!$G$29)+('Share Sensitivity'!$F$10*'Share Summary'!$G$29*(Inputs!$C$174*(Inputs!$C$175/12))))/Inputs!J13,"")</f>
        <v>294.51215078125</v>
      </c>
      <c r="G19" s="300">
        <f>IF(Inputs!$J$12,(SUMPRODUCT(D19:D22,$G$11:$G$14,$F$349:$F$352)+SUM('Share Summary'!$G$13:$G$15)-'Share Summary'!$G$31)/Inputs!J13,"")</f>
        <v>333.37207812500003</v>
      </c>
      <c r="H19" s="277">
        <f>IF(Inputs!$J$12,(SUMPRODUCT(D19:D22,$H$11:$H$14,$F$349:$F$352)+SUM('Share Summary'!$G$13:$G$15)-'Share Summary'!$G$31-($H$10*'Share Summary'!$G$29)-('Share Sensitivity'!$H$10*'Share Summary'!$G$29*(Inputs!$C$174*(Inputs!$C$175/12))))/Inputs!J13,"")</f>
        <v>372.23200546875</v>
      </c>
      <c r="I19" s="285">
        <f>IF(Inputs!$J$12,(SUMPRODUCT(D19:D22,$I$11:$I$14,$F$349:$F$352)+SUM('Share Summary'!$G$13:$G$15)-'Share Summary'!$G$31-($I$10*'Share Summary'!$G$29)-('Share Sensitivity'!$I$10*'Share Summary'!$G$29*(Inputs!$C$174*(Inputs!$C$175/12))))/Inputs!J13,"")</f>
        <v>430.52189648437496</v>
      </c>
    </row>
    <row r="20" spans="2:9">
      <c r="B20" s="138">
        <v>0.1</v>
      </c>
      <c r="C20" s="139" t="str">
        <f>IF(Inputs!$D$12,Inputs!$D$11,"")</f>
        <v>Irr Soybeans</v>
      </c>
      <c r="D20" s="235">
        <f>IF(Inputs!$D$12,Inputs!$D$18*0.9,"")</f>
        <v>10.35</v>
      </c>
      <c r="E20" s="278"/>
      <c r="F20" s="278"/>
      <c r="G20" s="301"/>
      <c r="H20" s="278"/>
      <c r="I20" s="286"/>
    </row>
    <row r="21" spans="2:9">
      <c r="B21" s="138" t="s">
        <v>227</v>
      </c>
      <c r="C21" s="139" t="str">
        <f>IF(Inputs!$E$12,Inputs!$E$11,"")</f>
        <v>Dry Corn</v>
      </c>
      <c r="D21" s="235">
        <f>IF(Inputs!$E$12,Inputs!$E$18*0.9,"")</f>
        <v>4.95</v>
      </c>
      <c r="E21" s="278"/>
      <c r="F21" s="278"/>
      <c r="G21" s="301"/>
      <c r="H21" s="278"/>
      <c r="I21" s="286"/>
    </row>
    <row r="22" spans="2:9">
      <c r="B22" s="140"/>
      <c r="C22" s="141" t="str">
        <f>IF(Inputs!$F$12,Inputs!$F$11,"")</f>
        <v>Dry Soybeans</v>
      </c>
      <c r="D22" s="236">
        <f>IF(Inputs!$F$12,Inputs!$F$18*0.9,"")</f>
        <v>10.35</v>
      </c>
      <c r="E22" s="278"/>
      <c r="F22" s="278"/>
      <c r="G22" s="301"/>
      <c r="H22" s="278"/>
      <c r="I22" s="286"/>
    </row>
    <row r="23" spans="2:9">
      <c r="B23" s="168"/>
      <c r="C23" s="169" t="str">
        <f>IF(Inputs!$C$12,Inputs!$C$11,"")</f>
        <v>Irr Corn</v>
      </c>
      <c r="D23" s="237">
        <f>IF(Inputs!$C$12,Inputs!$C$18,"")</f>
        <v>5.5</v>
      </c>
      <c r="E23" s="300">
        <f>IF(Inputs!$J$12,(SUMPRODUCT(D23:D26,$E$11:$E$14,$F$349:$F$352)+SUM('Share Summary'!$G$13:$G$15)-'Share Summary'!$G$31+($E$10*'Share Summary'!$G$29)+('Share Sensitivity'!$E$10*'Share Summary'!$G$29*(Inputs!$C$174*(Inputs!$C$175/12))))/Inputs!J13,"")</f>
        <v>269.69393945312498</v>
      </c>
      <c r="F23" s="300">
        <f>IF(Inputs!$J$12,(SUMPRODUCT(D23:D26,$F$11:$F$14,$F$349:$F$352)+SUM('Share Summary'!$G$13:$G$15)-'Share Summary'!$G$31+($F$10*'Share Summary'!$G$29)+('Share Sensitivity'!$F$10*'Share Summary'!$G$29*(Inputs!$C$174*(Inputs!$C$175/12))))/Inputs!J13,"")</f>
        <v>334.67816640625</v>
      </c>
      <c r="G23" s="300">
        <f>IF(Inputs!$J$12,(SUMPRODUCT(D23:D26,$G$11:$G$14,$F$349:$F$352)+SUM('Share Summary'!$G$13:$G$15)-'Share Summary'!$G$31)/Inputs!J13,"")</f>
        <v>378.00098437500003</v>
      </c>
      <c r="H23" s="300">
        <f>IF(Inputs!$J$12,(SUMPRODUCT(D23:D26,$H$11:$H$14,$F$349:$F$352)+SUM('Share Summary'!$G$13:$G$15)-'Share Summary'!$G$31-($H$10*'Share Summary'!$G$29)-('Share Sensitivity'!$H$10*'Share Summary'!$G$29*(Inputs!$C$174*(Inputs!$C$175/12))))/Inputs!J13,"")</f>
        <v>421.32380234375006</v>
      </c>
      <c r="I23" s="306">
        <f>IF(Inputs!$J$12,(SUMPRODUCT(D23:D26,$I$11:$I$14,$F$349:$F$352)+SUM('Share Summary'!$G$13:$G$15)-'Share Summary'!$G$31-($I$10*'Share Summary'!$G$29)-('Share Sensitivity'!$I$10*'Share Summary'!$G$29*(Inputs!$C$174*(Inputs!$C$175/12))))/Inputs!J13,"")</f>
        <v>486.30802929687496</v>
      </c>
    </row>
    <row r="24" spans="2:9">
      <c r="B24" s="303" t="s">
        <v>228</v>
      </c>
      <c r="C24" s="169" t="str">
        <f>IF(Inputs!$D$12,Inputs!$D$11,"")</f>
        <v>Irr Soybeans</v>
      </c>
      <c r="D24" s="237">
        <f>IF(Inputs!$D$12,Inputs!$D$18,"")</f>
        <v>11.5</v>
      </c>
      <c r="E24" s="301"/>
      <c r="F24" s="301"/>
      <c r="G24" s="301"/>
      <c r="H24" s="301"/>
      <c r="I24" s="307"/>
    </row>
    <row r="25" spans="2:9">
      <c r="B25" s="303"/>
      <c r="C25" s="169" t="str">
        <f>IF(Inputs!$E$12,Inputs!$E$11,"")</f>
        <v>Dry Corn</v>
      </c>
      <c r="D25" s="237">
        <f>IF(Inputs!$E$12,Inputs!$E$18,"")</f>
        <v>5.5</v>
      </c>
      <c r="E25" s="301"/>
      <c r="F25" s="301"/>
      <c r="G25" s="301"/>
      <c r="H25" s="301"/>
      <c r="I25" s="307"/>
    </row>
    <row r="26" spans="2:9">
      <c r="B26" s="171"/>
      <c r="C26" s="172" t="str">
        <f>IF(Inputs!$F$12,Inputs!$F$11,"")</f>
        <v>Dry Soybeans</v>
      </c>
      <c r="D26" s="238">
        <f>IF(Inputs!$F$12,Inputs!$F$18,"")</f>
        <v>11.5</v>
      </c>
      <c r="E26" s="301"/>
      <c r="F26" s="301"/>
      <c r="G26" s="301"/>
      <c r="H26" s="301"/>
      <c r="I26" s="307"/>
    </row>
    <row r="27" spans="2:9">
      <c r="B27" s="143"/>
      <c r="C27" s="139" t="str">
        <f>IF(Inputs!$C$12,Inputs!$C$11,"")</f>
        <v>Irr Corn</v>
      </c>
      <c r="D27" s="235">
        <f>IF(Inputs!$C$12,Inputs!$C$18*1.1,"")</f>
        <v>6.0500000000000007</v>
      </c>
      <c r="E27" s="277">
        <f>IF(Inputs!$J$12,(SUMPRODUCT(D27:D30,$E$11:$E$14,$F$349:$F$352)+SUM('Share Summary'!$G$13:$G$15)-'Share Summary'!$G$31+($E$10*'Share Summary'!$G$29)+('Share Sensitivity'!$E$10*'Share Summary'!$G$29*(Inputs!$C$174*(Inputs!$C$175/12))))/Inputs!J13,"")</f>
        <v>303.16561914062498</v>
      </c>
      <c r="F27" s="277">
        <f>IF(Inputs!$J$12,(SUMPRODUCT(D27:D30,$F$11:$F$14,$F$349:$F$352)+SUM('Share Summary'!$G$13:$G$15)-'Share Summary'!$G$31+($F$10*'Share Summary'!$G$29)+('Share Sensitivity'!$F$10*'Share Summary'!$G$29*(Inputs!$C$174*(Inputs!$C$175/12))))/Inputs!J13,"")</f>
        <v>374.84418203125</v>
      </c>
      <c r="G27" s="300">
        <f>IF(Inputs!$J$12,(SUMPRODUCT(D27:D30,$G$11:$G$14,$F$349:$F$352)+SUM('Share Summary'!$G$13:$G$15)-'Share Summary'!$G$31)/Inputs!J13,"")</f>
        <v>422.62989062500003</v>
      </c>
      <c r="H27" s="277">
        <f>IF(Inputs!$J$12,(SUMPRODUCT(D27:D30,$H$11:$H$14,$F$349:$F$352)+SUM('Share Summary'!$G$13:$G$15)-'Share Summary'!$G$31-($H$10*'Share Summary'!$G$29)-('Share Sensitivity'!$H$10*'Share Summary'!$G$29*(Inputs!$C$174*(Inputs!$C$175/12))))/Inputs!J13,"")</f>
        <v>470.41559921875012</v>
      </c>
      <c r="I27" s="285">
        <f>IF(Inputs!$J$12,(SUMPRODUCT(D27:D30,$I$11:$I$14,$F$349:$F$352)+SUM('Share Summary'!$G$13:$G$15)-'Share Summary'!$G$31-($I$10*'Share Summary'!$G$29)-('Share Sensitivity'!$I$10*'Share Summary'!$G$29*(Inputs!$C$174*(Inputs!$C$175/12))))/Inputs!J13,"")</f>
        <v>542.09416210937502</v>
      </c>
    </row>
    <row r="28" spans="2:9">
      <c r="B28" s="138">
        <v>0.1</v>
      </c>
      <c r="C28" s="139" t="str">
        <f>IF(Inputs!$D$12,Inputs!$D$11,"")</f>
        <v>Irr Soybeans</v>
      </c>
      <c r="D28" s="235">
        <f>IF(Inputs!$D$12,Inputs!$D$18*1.1,"")</f>
        <v>12.65</v>
      </c>
      <c r="E28" s="278"/>
      <c r="F28" s="278"/>
      <c r="G28" s="301"/>
      <c r="H28" s="278"/>
      <c r="I28" s="286"/>
    </row>
    <row r="29" spans="2:9">
      <c r="B29" s="138" t="s">
        <v>229</v>
      </c>
      <c r="C29" s="139" t="str">
        <f>IF(Inputs!$E$12,Inputs!$E$11,"")</f>
        <v>Dry Corn</v>
      </c>
      <c r="D29" s="235">
        <f>IF(Inputs!$E$12,Inputs!$E$18*1.1,"")</f>
        <v>6.0500000000000007</v>
      </c>
      <c r="E29" s="278"/>
      <c r="F29" s="278"/>
      <c r="G29" s="301"/>
      <c r="H29" s="278"/>
      <c r="I29" s="286"/>
    </row>
    <row r="30" spans="2:9">
      <c r="B30" s="140"/>
      <c r="C30" s="141" t="str">
        <f>IF(Inputs!$F$12,Inputs!$F$11,"")</f>
        <v>Dry Soybeans</v>
      </c>
      <c r="D30" s="236">
        <f>IF(Inputs!$F$12,Inputs!$F$18*1.1,"")</f>
        <v>12.65</v>
      </c>
      <c r="E30" s="278"/>
      <c r="F30" s="278"/>
      <c r="G30" s="301"/>
      <c r="H30" s="278"/>
      <c r="I30" s="286"/>
    </row>
    <row r="31" spans="2:9">
      <c r="B31" s="143"/>
      <c r="C31" s="139" t="str">
        <f>IF(Inputs!$C$12,Inputs!$C$11,"")</f>
        <v>Irr Corn</v>
      </c>
      <c r="D31" s="235">
        <f>IF(Inputs!$C$12,Inputs!$C$18*1.25,"")</f>
        <v>6.875</v>
      </c>
      <c r="E31" s="277">
        <f>IF(Inputs!$J$12,(SUMPRODUCT(D31:D34,$E$11:$E$14,$F$349:$F$352)+SUM('Share Summary'!$G$13:$G$15)-'Share Summary'!$G$31+($E$10*'Share Summary'!$G$29)+('Share Sensitivity'!$E$10*'Share Summary'!$G$29*(Inputs!$C$174*(Inputs!$C$175/12))))/Inputs!J13,"")</f>
        <v>353.37313867187498</v>
      </c>
      <c r="F31" s="277">
        <f>IF(Inputs!$J$12,(SUMPRODUCT(D31:D34,$F$11:$F$14,$F$349:$F$352)+SUM('Share Summary'!$G$13:$G$15)-'Share Summary'!$G$31+($F$10*'Share Summary'!$G$29)+('Share Sensitivity'!$F$10*'Share Summary'!$G$29*(Inputs!$C$174*(Inputs!$C$175/12))))/Inputs!J13,"")</f>
        <v>435.09320546874994</v>
      </c>
      <c r="G31" s="300">
        <f>IF(Inputs!$J$12,(SUMPRODUCT(D31:D34,$G$11:$G$14,$F$349:$F$352)+SUM('Share Summary'!$G$13:$G$15)-'Share Summary'!$G$31)/Inputs!J13,"")</f>
        <v>489.57325000000003</v>
      </c>
      <c r="H31" s="277">
        <f>IF(Inputs!$J$12,(SUMPRODUCT(D31:D34,$H$11:$H$14,$F$349:$F$352)+SUM('Share Summary'!$G$13:$G$15)-'Share Summary'!$G$31-($H$10*'Share Summary'!$G$29)-('Share Sensitivity'!$H$10*'Share Summary'!$G$29*(Inputs!$C$174*(Inputs!$C$175/12))))/Inputs!J13,"")</f>
        <v>544.05329453125</v>
      </c>
      <c r="I31" s="285">
        <f>IF(Inputs!$J$12,(SUMPRODUCT(D31:D34,$I$11:$I$14,$F$349:$F$352)+SUM('Share Summary'!$G$13:$G$15)-'Share Summary'!$G$31-($I$10*'Share Summary'!$G$29)-('Share Sensitivity'!$I$10*'Share Summary'!$G$29*(Inputs!$C$174*(Inputs!$C$175/12))))/Inputs!J13,"")</f>
        <v>625.77336132812502</v>
      </c>
    </row>
    <row r="32" spans="2:9">
      <c r="B32" s="138">
        <v>0.25</v>
      </c>
      <c r="C32" s="139" t="str">
        <f>IF(Inputs!$D$12,Inputs!$D$11,"")</f>
        <v>Irr Soybeans</v>
      </c>
      <c r="D32" s="235">
        <f>IF(Inputs!$D$12,Inputs!$D$18*1.25,"")</f>
        <v>14.375</v>
      </c>
      <c r="E32" s="278"/>
      <c r="F32" s="278"/>
      <c r="G32" s="301"/>
      <c r="H32" s="278"/>
      <c r="I32" s="286"/>
    </row>
    <row r="33" spans="1:9">
      <c r="B33" s="138" t="s">
        <v>229</v>
      </c>
      <c r="C33" s="139" t="str">
        <f>IF(Inputs!$E$12,Inputs!$E$11,"")</f>
        <v>Dry Corn</v>
      </c>
      <c r="D33" s="235">
        <f>IF(Inputs!$E$12,Inputs!$E$18*1.25,"")</f>
        <v>6.875</v>
      </c>
      <c r="E33" s="278"/>
      <c r="F33" s="278"/>
      <c r="G33" s="301"/>
      <c r="H33" s="278"/>
      <c r="I33" s="286"/>
    </row>
    <row r="34" spans="1:9" ht="13.5" thickBot="1">
      <c r="B34" s="151"/>
      <c r="C34" s="152" t="str">
        <f>IF(Inputs!$F$12,Inputs!$F$11,"")</f>
        <v>Dry Soybeans</v>
      </c>
      <c r="D34" s="239">
        <f>IF(Inputs!$F$12,Inputs!$F$18*1.25,"")</f>
        <v>14.375</v>
      </c>
      <c r="E34" s="279"/>
      <c r="F34" s="279"/>
      <c r="G34" s="302"/>
      <c r="H34" s="279"/>
      <c r="I34" s="287"/>
    </row>
    <row r="36" spans="1:9" ht="15">
      <c r="A36" s="118" t="s">
        <v>265</v>
      </c>
    </row>
    <row r="37" spans="1:9" ht="15">
      <c r="A37" s="118" t="s">
        <v>264</v>
      </c>
    </row>
    <row r="38" spans="1:9" ht="13.5" thickBot="1"/>
    <row r="39" spans="1:9">
      <c r="B39" s="121"/>
      <c r="C39" s="122"/>
      <c r="D39" s="274" t="s">
        <v>226</v>
      </c>
      <c r="E39" s="276" t="s">
        <v>227</v>
      </c>
      <c r="F39" s="276"/>
      <c r="G39" s="165" t="s">
        <v>228</v>
      </c>
      <c r="H39" s="276" t="s">
        <v>229</v>
      </c>
      <c r="I39" s="289"/>
    </row>
    <row r="40" spans="1:9">
      <c r="B40" s="124"/>
      <c r="C40" s="125"/>
      <c r="D40" s="275"/>
      <c r="E40" s="126">
        <v>0.25</v>
      </c>
      <c r="F40" s="127">
        <v>0.1</v>
      </c>
      <c r="G40" s="166"/>
      <c r="H40" s="127">
        <v>0.1</v>
      </c>
      <c r="I40" s="129">
        <v>0.25</v>
      </c>
    </row>
    <row r="41" spans="1:9">
      <c r="B41" s="124"/>
      <c r="C41" s="125"/>
      <c r="D41" s="130" t="str">
        <f>IF(Inputs!$C$12,Inputs!$C$11,"")</f>
        <v>Irr Corn</v>
      </c>
      <c r="E41" s="131">
        <f>IF(Inputs!$C$12,'Share Summary'!$B$10*0.75,"")</f>
        <v>82.5</v>
      </c>
      <c r="F41" s="131">
        <f>IF(Inputs!$C$12,'Share Summary'!$B$10*0.9,"")</f>
        <v>99</v>
      </c>
      <c r="G41" s="167">
        <f>IF(Inputs!$C$12,'Share Summary'!$B$10,"")</f>
        <v>110</v>
      </c>
      <c r="H41" s="131">
        <f>IF(Inputs!$C$12,'Share Summary'!$B$10*1.1,"")</f>
        <v>121.00000000000001</v>
      </c>
      <c r="I41" s="133">
        <f>IF(Inputs!$C$12,'Share Summary'!$B$10*1.25,"")</f>
        <v>137.5</v>
      </c>
    </row>
    <row r="42" spans="1:9">
      <c r="B42" s="124"/>
      <c r="C42" s="125"/>
      <c r="D42" s="130" t="str">
        <f>IF(Inputs!$D$12,Inputs!$D$11,"")</f>
        <v>Irr Soybeans</v>
      </c>
      <c r="E42" s="131">
        <f>IF(Inputs!$D$12,'Share Summary'!$C$10*0.75,"")</f>
        <v>22.5</v>
      </c>
      <c r="F42" s="131">
        <f>IF(Inputs!$D$12,'Share Summary'!$C$10*0.9,"")</f>
        <v>27</v>
      </c>
      <c r="G42" s="167">
        <f>IF(Inputs!$D$12,'Share Summary'!$C$10,"")</f>
        <v>30</v>
      </c>
      <c r="H42" s="131">
        <f>IF(Inputs!$D$12,'Share Summary'!$C$10*1.1,"")</f>
        <v>33</v>
      </c>
      <c r="I42" s="133">
        <f>IF(Inputs!$D$12,'Share Summary'!$C$10*1.25,"")</f>
        <v>37.5</v>
      </c>
    </row>
    <row r="43" spans="1:9">
      <c r="B43" s="124"/>
      <c r="C43" s="125"/>
      <c r="D43" s="130" t="str">
        <f>IF(Inputs!$E$12,Inputs!$E$11,"")</f>
        <v>Dry Corn</v>
      </c>
      <c r="E43" s="131">
        <f>IF(Inputs!$E$12,'Share Summary'!$D$10*0.75,"")</f>
        <v>52.5</v>
      </c>
      <c r="F43" s="131">
        <f>IF(Inputs!$E$12,'Share Summary'!$D$10*0.9,"")</f>
        <v>63</v>
      </c>
      <c r="G43" s="167">
        <f>IF(Inputs!$E$12,'Share Summary'!$D$10,"")</f>
        <v>70</v>
      </c>
      <c r="H43" s="131">
        <f>IF(Inputs!$E$12,'Share Summary'!$D$10*1.1,"")</f>
        <v>77</v>
      </c>
      <c r="I43" s="133">
        <f>IF(Inputs!$E$12,'Share Summary'!$D$10*1.25,"")</f>
        <v>87.5</v>
      </c>
    </row>
    <row r="44" spans="1:9">
      <c r="B44" s="280" t="s">
        <v>230</v>
      </c>
      <c r="C44" s="281"/>
      <c r="D44" s="134" t="str">
        <f>IF(Inputs!$F$12,Inputs!$F$11,"")</f>
        <v>Dry Soybeans</v>
      </c>
      <c r="E44" s="131">
        <f>IF(Inputs!$F$12,'Share Summary'!$E$10*0.75,"")</f>
        <v>16.875</v>
      </c>
      <c r="F44" s="131">
        <f>IF(Inputs!$F$12,'Share Summary'!$E$10*0.9,"")</f>
        <v>20.25</v>
      </c>
      <c r="G44" s="167">
        <f>IF(Inputs!$F$12,'Share Summary'!$E$10,"")</f>
        <v>22.5</v>
      </c>
      <c r="H44" s="131">
        <f>IF(Inputs!$F$12,'Share Summary'!$E$10*1.1,"")</f>
        <v>24.750000000000004</v>
      </c>
      <c r="I44" s="133">
        <f>IF(Inputs!$F$12,'Share Summary'!$E$10*1.25,"")</f>
        <v>28.125</v>
      </c>
    </row>
    <row r="45" spans="1:9">
      <c r="B45" s="135"/>
      <c r="C45" s="136" t="str">
        <f>IF(Inputs!$C$12,Inputs!$C$11,"")</f>
        <v>Irr Corn</v>
      </c>
      <c r="D45" s="137">
        <f>IF(Inputs!$C$12,Inputs!$C$18*0.75,"")</f>
        <v>4.125</v>
      </c>
      <c r="E45" s="294">
        <f>IF(Inputs!$J$12,(SUMPRODUCT(D45:D48,$E$41:$E$44,$F$349:$F$352)+SUM('Share Summary'!$G$13:$G$15)-'Share Summary'!$G$41+($E$40*'Share Summary'!$G$29)+('Share Sensitivity'!$E$40*'Share Summary'!$G$29*(Inputs!$C$174*(Inputs!$C$175/12))))/Inputs!J13,"")</f>
        <v>99.463400948660691</v>
      </c>
      <c r="F45" s="277">
        <f>IF(Inputs!$J$12,(SUMPRODUCT(D45:D48,$F$41:$F$44,$F$349:$F$352)+SUM('Share Summary'!$G$13:$G$15)-'Share Summary'!$G$41+($F$40*'Share Summary'!$G$29)+('Share Sensitivity'!$F$40*'Share Summary'!$G$29*(Inputs!$C$174*(Inputs!$C$175/12))))/Inputs!J13,"")</f>
        <v>147.71178805803569</v>
      </c>
      <c r="G45" s="300">
        <f>IF(Inputs!$J$12,(SUMPRODUCT(D45:D48,$G$41:$G$44,$F$349:$F$352)+SUM('Share Summary'!$G$13:$G$15)-'Share Summary'!$G$41)/Inputs!J13,"")</f>
        <v>179.8773794642857</v>
      </c>
      <c r="H45" s="277">
        <f>IF(Inputs!$J$12,(SUMPRODUCT(D45:D48,$H$41:$H$44,$F$349:$F$352)+SUM('Share Summary'!$G$13:$G$15)-'Share Summary'!$G$41-($H$40*'Share Summary'!$G$29)-('Share Sensitivity'!$H$40*'Share Summary'!$G$29*(Inputs!$C$174*(Inputs!$C$175/12))))/Inputs!J13,"")</f>
        <v>212.0429708705357</v>
      </c>
      <c r="I45" s="285">
        <f>IF(Inputs!$J$12,(SUMPRODUCT(D45:D48,$I$41:$I$44,$F$349:$F$352)+SUM('Share Summary'!$G$13:$G$15)-'Share Summary'!$G$41-($I$40*'Share Summary'!$G$29)-('Share Sensitivity'!$I$40*'Share Summary'!$G$29*(Inputs!$C$174*(Inputs!$C$175/12))))/Inputs!J13,"")</f>
        <v>260.29135797991069</v>
      </c>
    </row>
    <row r="46" spans="1:9">
      <c r="B46" s="138">
        <v>0.25</v>
      </c>
      <c r="C46" s="139" t="str">
        <f>IF(Inputs!$D$12,Inputs!$D$11,"")</f>
        <v>Irr Soybeans</v>
      </c>
      <c r="D46" s="137">
        <f>IF(Inputs!$D$12,Inputs!$D$18*0.75,"")</f>
        <v>8.625</v>
      </c>
      <c r="E46" s="295"/>
      <c r="F46" s="278"/>
      <c r="G46" s="301"/>
      <c r="H46" s="278"/>
      <c r="I46" s="286"/>
    </row>
    <row r="47" spans="1:9">
      <c r="B47" s="138" t="s">
        <v>227</v>
      </c>
      <c r="C47" s="139" t="str">
        <f>IF(Inputs!$E$12,Inputs!$E$11,"")</f>
        <v>Dry Corn</v>
      </c>
      <c r="D47" s="137">
        <f>IF(Inputs!$E$12,Inputs!$E$18*0.75,"")</f>
        <v>4.125</v>
      </c>
      <c r="E47" s="295"/>
      <c r="F47" s="278"/>
      <c r="G47" s="301"/>
      <c r="H47" s="278"/>
      <c r="I47" s="286"/>
    </row>
    <row r="48" spans="1:9">
      <c r="B48" s="140"/>
      <c r="C48" s="141" t="str">
        <f>IF(Inputs!$F$12,Inputs!$F$11,"")</f>
        <v>Dry Soybeans</v>
      </c>
      <c r="D48" s="142">
        <f>IF(Inputs!$F$12,Inputs!$F$18*0.75,"")</f>
        <v>8.625</v>
      </c>
      <c r="E48" s="296"/>
      <c r="F48" s="278"/>
      <c r="G48" s="301"/>
      <c r="H48" s="278"/>
      <c r="I48" s="286"/>
    </row>
    <row r="49" spans="2:9">
      <c r="B49" s="143"/>
      <c r="C49" s="139" t="str">
        <f>IF(Inputs!$C$12,Inputs!$C$11,"")</f>
        <v>Irr Corn</v>
      </c>
      <c r="D49" s="137">
        <f>IF(Inputs!$C$12,Inputs!$C$18*0.9,"")</f>
        <v>4.95</v>
      </c>
      <c r="E49" s="277">
        <f>IF(Inputs!$J$12,(SUMPRODUCT(D49:D52,$E$41:$E$44,$F$349:$F$352)+SUM('Share Summary'!$G$13:$G$15)-'Share Summary'!$G$41+($E$40*'Share Summary'!$G$29)+('Share Sensitivity'!$E$40*'Share Summary'!$G$29*(Inputs!$C$174*(Inputs!$C$175/12))))/Inputs!J13,"")</f>
        <v>149.67092047991071</v>
      </c>
      <c r="F49" s="277">
        <f>IF(Inputs!$J$12,(SUMPRODUCT(D49:D52,$F$41:$F$44,$F$349:$F$352)+SUM('Share Summary'!$G$13:$G$15)-'Share Summary'!$G$41+($F$40*'Share Summary'!$G$29)+('Share Sensitivity'!$F$40*'Share Summary'!$G$29*(Inputs!$C$174*(Inputs!$C$175/12))))/Inputs!J13,"")</f>
        <v>207.96081149553569</v>
      </c>
      <c r="G49" s="300">
        <f>IF(Inputs!$J$12,(SUMPRODUCT(D49:D52,$G$41:$G$44,$F$349:$F$352)+SUM('Share Summary'!$G$13:$G$15)-'Share Summary'!$G$41)/Inputs!J13,"")</f>
        <v>246.8207388392857</v>
      </c>
      <c r="H49" s="277">
        <f>IF(Inputs!$J$12,(SUMPRODUCT(D49:D52,$H$41:$H$44,$F$349:$F$352)+SUM('Share Summary'!$G$13:$G$15)-'Share Summary'!$G$41-($H$40*'Share Summary'!$G$29)-('Share Sensitivity'!$H$40*'Share Summary'!$G$29*(Inputs!$C$174*(Inputs!$C$175/12))))/Inputs!J13,"")</f>
        <v>285.68066618303567</v>
      </c>
      <c r="I49" s="285">
        <f>IF(Inputs!$J$12,(SUMPRODUCT(D49:D52,$I$41:$I$44,$F$349:$F$352)+SUM('Share Summary'!$G$13:$G$15)-'Share Summary'!$G$41-($I$40*'Share Summary'!$G$29)-('Share Sensitivity'!$I$40*'Share Summary'!$G$29*(Inputs!$C$174*(Inputs!$C$175/12))))/Inputs!J13,"")</f>
        <v>343.97055719866069</v>
      </c>
    </row>
    <row r="50" spans="2:9">
      <c r="B50" s="138">
        <v>0.1</v>
      </c>
      <c r="C50" s="139" t="str">
        <f>IF(Inputs!$D$12,Inputs!$D$11,"")</f>
        <v>Irr Soybeans</v>
      </c>
      <c r="D50" s="137">
        <f>IF(Inputs!$D$12,Inputs!$D$18*0.9,"")</f>
        <v>10.35</v>
      </c>
      <c r="E50" s="278"/>
      <c r="F50" s="278"/>
      <c r="G50" s="301"/>
      <c r="H50" s="278"/>
      <c r="I50" s="286"/>
    </row>
    <row r="51" spans="2:9">
      <c r="B51" s="138" t="s">
        <v>227</v>
      </c>
      <c r="C51" s="139" t="str">
        <f>IF(Inputs!$E$12,Inputs!$E$11,"")</f>
        <v>Dry Corn</v>
      </c>
      <c r="D51" s="137">
        <f>IF(Inputs!$E$12,Inputs!$E$18*0.9,"")</f>
        <v>4.95</v>
      </c>
      <c r="E51" s="278"/>
      <c r="F51" s="278"/>
      <c r="G51" s="301"/>
      <c r="H51" s="278"/>
      <c r="I51" s="286"/>
    </row>
    <row r="52" spans="2:9">
      <c r="B52" s="140"/>
      <c r="C52" s="141" t="str">
        <f>IF(Inputs!$F$12,Inputs!$F$11,"")</f>
        <v>Dry Soybeans</v>
      </c>
      <c r="D52" s="142">
        <f>IF(Inputs!$F$12,Inputs!$F$18*0.9,"")</f>
        <v>10.35</v>
      </c>
      <c r="E52" s="278"/>
      <c r="F52" s="278"/>
      <c r="G52" s="301"/>
      <c r="H52" s="278"/>
      <c r="I52" s="286"/>
    </row>
    <row r="53" spans="2:9">
      <c r="B53" s="168"/>
      <c r="C53" s="169" t="str">
        <f>IF(Inputs!$C$12,Inputs!$C$11,"")</f>
        <v>Irr Corn</v>
      </c>
      <c r="D53" s="170">
        <f>IF(Inputs!$C$12,Inputs!$C$18,"")</f>
        <v>5.5</v>
      </c>
      <c r="E53" s="300">
        <f>IF(Inputs!$J$12,(SUMPRODUCT(D53:D56,$E$41:$E$44,$F$349:$F$352)+SUM('Share Summary'!$G$13:$G$15)-'Share Summary'!$G$41+($E$40*'Share Summary'!$G$29)+('Share Sensitivity'!$E$40*'Share Summary'!$G$29*(Inputs!$C$174*(Inputs!$C$175/12))))/Inputs!J13,"")</f>
        <v>183.14260016741071</v>
      </c>
      <c r="F53" s="300">
        <f>IF(Inputs!$J$12,(SUMPRODUCT(D53:D56,$F$41:$F$44,$F$349:$F$352)+SUM('Share Summary'!$G$13:$G$15)-'Share Summary'!$G$41+($F$40*'Share Summary'!$G$29)+('Share Sensitivity'!$F$40*'Share Summary'!$G$29*(Inputs!$C$174*(Inputs!$C$175/12))))/Inputs!J13,"")</f>
        <v>248.12682712053569</v>
      </c>
      <c r="G53" s="300">
        <f>IF(Inputs!$J$12,(SUMPRODUCT(D53:D56,$G$41:$G$44,$F$349:$F$352)+SUM('Share Summary'!$G$13:$G$15)-'Share Summary'!$G$41)/Inputs!J13,"")</f>
        <v>291.4496450892857</v>
      </c>
      <c r="H53" s="300">
        <f>IF(Inputs!$J$12,(SUMPRODUCT(D53:D56,$H$41:$H$44,$F$349:$F$352)+SUM('Share Summary'!$G$13:$G$15)-'Share Summary'!$G$41-($H$40*'Share Summary'!$G$29)-('Share Sensitivity'!$H$40*'Share Summary'!$G$29*(Inputs!$C$174*(Inputs!$C$175/12))))/Inputs!J13,"")</f>
        <v>334.77246305803567</v>
      </c>
      <c r="I53" s="306">
        <f>IF(Inputs!$J$12,(SUMPRODUCT(D53:D56,$I$41:$I$44,$F$349:$F$352)+SUM('Share Summary'!$G$13:$G$15)-'Share Summary'!$G$41-($I$40*'Share Summary'!$G$29)-('Share Sensitivity'!$I$40*'Share Summary'!$G$29*(Inputs!$C$174*(Inputs!$C$175/12))))/Inputs!J13,"")</f>
        <v>399.75669001116069</v>
      </c>
    </row>
    <row r="54" spans="2:9">
      <c r="B54" s="303" t="s">
        <v>228</v>
      </c>
      <c r="C54" s="169" t="str">
        <f>IF(Inputs!$D$12,Inputs!$D$11,"")</f>
        <v>Irr Soybeans</v>
      </c>
      <c r="D54" s="170">
        <f>IF(Inputs!$D$12,Inputs!$D$18,"")</f>
        <v>11.5</v>
      </c>
      <c r="E54" s="301"/>
      <c r="F54" s="301"/>
      <c r="G54" s="301"/>
      <c r="H54" s="301"/>
      <c r="I54" s="307"/>
    </row>
    <row r="55" spans="2:9">
      <c r="B55" s="303"/>
      <c r="C55" s="169" t="str">
        <f>IF(Inputs!$E$12,Inputs!$E$11,"")</f>
        <v>Dry Corn</v>
      </c>
      <c r="D55" s="170">
        <f>IF(Inputs!$E$12,Inputs!$E$18,"")</f>
        <v>5.5</v>
      </c>
      <c r="E55" s="301"/>
      <c r="F55" s="301"/>
      <c r="G55" s="301"/>
      <c r="H55" s="301"/>
      <c r="I55" s="307"/>
    </row>
    <row r="56" spans="2:9">
      <c r="B56" s="171"/>
      <c r="C56" s="172" t="str">
        <f>IF(Inputs!$F$12,Inputs!$F$11,"")</f>
        <v>Dry Soybeans</v>
      </c>
      <c r="D56" s="173">
        <f>IF(Inputs!$F$12,Inputs!$F$18,"")</f>
        <v>11.5</v>
      </c>
      <c r="E56" s="301"/>
      <c r="F56" s="301"/>
      <c r="G56" s="301"/>
      <c r="H56" s="301"/>
      <c r="I56" s="307"/>
    </row>
    <row r="57" spans="2:9">
      <c r="B57" s="143"/>
      <c r="C57" s="139" t="str">
        <f>IF(Inputs!$C$12,Inputs!$C$11,"")</f>
        <v>Irr Corn</v>
      </c>
      <c r="D57" s="137">
        <f>IF(Inputs!$C$12,Inputs!$C$18*1.1,"")</f>
        <v>6.0500000000000007</v>
      </c>
      <c r="E57" s="277">
        <f>IF(Inputs!$J$12,(SUMPRODUCT(D57:D60,$E$41:$E$44,$F$349:$F$352)+SUM('Share Summary'!$G$13:$G$15)-'Share Summary'!$G$41+($E$40*'Share Summary'!$G$29)+('Share Sensitivity'!$E$40*'Share Summary'!$G$29*(Inputs!$C$174*(Inputs!$C$175/12))))/Inputs!J13,"")</f>
        <v>216.61427985491068</v>
      </c>
      <c r="F57" s="277">
        <f>IF(Inputs!$J$12,(SUMPRODUCT(D57:D60,$F$41:$F$44,$F$349:$F$352)+SUM('Share Summary'!$G$13:$G$15)-'Share Summary'!$G$41+($F$40*'Share Summary'!$G$29)+('Share Sensitivity'!$F$40*'Share Summary'!$G$29*(Inputs!$C$174*(Inputs!$C$175/12))))/Inputs!J13,"")</f>
        <v>288.29284274553572</v>
      </c>
      <c r="G57" s="300">
        <f>IF(Inputs!$J$12,(SUMPRODUCT(D57:D60,$G$41:$G$44,$F$349:$F$352)+SUM('Share Summary'!$G$13:$G$15)-'Share Summary'!$G$41)/Inputs!J13,"")</f>
        <v>336.0785513392857</v>
      </c>
      <c r="H57" s="277">
        <f>IF(Inputs!$J$12,(SUMPRODUCT(D57:D60,$H$41:$H$44,$F$349:$F$352)+SUM('Share Summary'!$G$13:$G$15)-'Share Summary'!$G$41-($H$40*'Share Summary'!$G$29)-('Share Sensitivity'!$H$40*'Share Summary'!$G$29*(Inputs!$C$174*(Inputs!$C$175/12))))/Inputs!J13,"")</f>
        <v>383.86425993303578</v>
      </c>
      <c r="I57" s="285">
        <f>IF(Inputs!$J$12,(SUMPRODUCT(D57:D60,$I$41:$I$44,$F$349:$F$352)+SUM('Share Summary'!$G$13:$G$15)-'Share Summary'!$G$41-($I$40*'Share Summary'!$G$29)-('Share Sensitivity'!$I$40*'Share Summary'!$G$29*(Inputs!$C$174*(Inputs!$C$175/12))))/Inputs!J13,"")</f>
        <v>455.54282282366069</v>
      </c>
    </row>
    <row r="58" spans="2:9">
      <c r="B58" s="138">
        <v>0.1</v>
      </c>
      <c r="C58" s="139" t="str">
        <f>IF(Inputs!$D$12,Inputs!$D$11,"")</f>
        <v>Irr Soybeans</v>
      </c>
      <c r="D58" s="137">
        <f>IF(Inputs!$D$12,Inputs!$D$18*1.1,"")</f>
        <v>12.65</v>
      </c>
      <c r="E58" s="278"/>
      <c r="F58" s="278"/>
      <c r="G58" s="301"/>
      <c r="H58" s="278"/>
      <c r="I58" s="286"/>
    </row>
    <row r="59" spans="2:9">
      <c r="B59" s="138" t="s">
        <v>229</v>
      </c>
      <c r="C59" s="139" t="str">
        <f>IF(Inputs!$E$12,Inputs!$E$11,"")</f>
        <v>Dry Corn</v>
      </c>
      <c r="D59" s="137">
        <f>IF(Inputs!$E$12,Inputs!$E$18*1.1,"")</f>
        <v>6.0500000000000007</v>
      </c>
      <c r="E59" s="278"/>
      <c r="F59" s="278"/>
      <c r="G59" s="301"/>
      <c r="H59" s="278"/>
      <c r="I59" s="286"/>
    </row>
    <row r="60" spans="2:9">
      <c r="B60" s="140"/>
      <c r="C60" s="141" t="str">
        <f>IF(Inputs!$F$12,Inputs!$F$11,"")</f>
        <v>Dry Soybeans</v>
      </c>
      <c r="D60" s="142">
        <f>IF(Inputs!$F$12,Inputs!$F$18*1.1,"")</f>
        <v>12.65</v>
      </c>
      <c r="E60" s="278"/>
      <c r="F60" s="278"/>
      <c r="G60" s="301"/>
      <c r="H60" s="278"/>
      <c r="I60" s="286"/>
    </row>
    <row r="61" spans="2:9">
      <c r="B61" s="143"/>
      <c r="C61" s="139" t="str">
        <f>IF(Inputs!$C$12,Inputs!$C$11,"")</f>
        <v>Irr Corn</v>
      </c>
      <c r="D61" s="137">
        <f>IF(Inputs!$C$12,Inputs!$C$18*1.25,"")</f>
        <v>6.875</v>
      </c>
      <c r="E61" s="277">
        <f>IF(Inputs!$J$12,(SUMPRODUCT(D61:D64,$E$41:$E$44,$F$349:$F$352)+SUM('Share Summary'!$G$13:$G$15)-'Share Summary'!$G$41+($E$40*'Share Summary'!$G$29)+('Share Sensitivity'!$E$40*'Share Summary'!$G$29*(Inputs!$C$174*(Inputs!$C$175/12))))/Inputs!J13,"")</f>
        <v>266.82179938616071</v>
      </c>
      <c r="F61" s="277">
        <f>IF(Inputs!$J$12,(SUMPRODUCT(D61:D64,$F$41:$F$44,$F$349:$F$352)+SUM('Share Summary'!$G$13:$G$15)-'Share Summary'!$G$41+($F$40*'Share Summary'!$G$29)+('Share Sensitivity'!$F$40*'Share Summary'!$G$29*(Inputs!$C$174*(Inputs!$C$175/12))))/Inputs!J13,"")</f>
        <v>348.54186618303572</v>
      </c>
      <c r="G61" s="300">
        <f>IF(Inputs!$J$12,(SUMPRODUCT(D61:D64,$G$41:$G$44,$F$349:$F$352)+SUM('Share Summary'!$G$13:$G$15)-'Share Summary'!$G$41)/Inputs!J13,"")</f>
        <v>403.0219107142857</v>
      </c>
      <c r="H61" s="277">
        <f>IF(Inputs!$J$12,(SUMPRODUCT(D61:D64,$H$41:$H$44,$F$349:$F$352)+SUM('Share Summary'!$G$13:$G$15)-'Share Summary'!$G$41-($H$40*'Share Summary'!$G$29)-('Share Sensitivity'!$H$40*'Share Summary'!$G$29*(Inputs!$C$174*(Inputs!$C$175/12))))/Inputs!J13,"")</f>
        <v>457.50195524553573</v>
      </c>
      <c r="I61" s="285">
        <f>IF(Inputs!$J$12,(SUMPRODUCT(D61:D64,$I$41:$I$44,$F$349:$F$352)+SUM('Share Summary'!$G$13:$G$15)-'Share Summary'!$G$41-($I$40*'Share Summary'!$G$29)-('Share Sensitivity'!$I$40*'Share Summary'!$G$29*(Inputs!$C$174*(Inputs!$C$175/12))))/Inputs!J13,"")</f>
        <v>539.22202204241069</v>
      </c>
    </row>
    <row r="62" spans="2:9">
      <c r="B62" s="138">
        <v>0.25</v>
      </c>
      <c r="C62" s="139" t="str">
        <f>IF(Inputs!$D$12,Inputs!$D$11,"")</f>
        <v>Irr Soybeans</v>
      </c>
      <c r="D62" s="137">
        <f>IF(Inputs!$D$12,Inputs!$D$18*1.25,"")</f>
        <v>14.375</v>
      </c>
      <c r="E62" s="278"/>
      <c r="F62" s="278"/>
      <c r="G62" s="301"/>
      <c r="H62" s="278"/>
      <c r="I62" s="286"/>
    </row>
    <row r="63" spans="2:9">
      <c r="B63" s="138" t="s">
        <v>229</v>
      </c>
      <c r="C63" s="139" t="str">
        <f>IF(Inputs!$E$12,Inputs!$E$11,"")</f>
        <v>Dry Corn</v>
      </c>
      <c r="D63" s="137">
        <f>IF(Inputs!$E$12,Inputs!$E$18*1.25,"")</f>
        <v>6.875</v>
      </c>
      <c r="E63" s="278"/>
      <c r="F63" s="278"/>
      <c r="G63" s="301"/>
      <c r="H63" s="278"/>
      <c r="I63" s="286"/>
    </row>
    <row r="64" spans="2:9" ht="13.5" thickBot="1">
      <c r="B64" s="151"/>
      <c r="C64" s="152" t="str">
        <f>IF(Inputs!$F$12,Inputs!$F$11,"")</f>
        <v>Dry Soybeans</v>
      </c>
      <c r="D64" s="158">
        <f>IF(Inputs!$F$12,Inputs!$F$18*1.25,"")</f>
        <v>14.375</v>
      </c>
      <c r="E64" s="279"/>
      <c r="F64" s="279"/>
      <c r="G64" s="302"/>
      <c r="H64" s="279"/>
      <c r="I64" s="287"/>
    </row>
    <row r="65" spans="1:9">
      <c r="B65" s="174"/>
      <c r="C65" s="175"/>
      <c r="D65" s="176"/>
      <c r="E65" s="177"/>
      <c r="F65" s="177"/>
      <c r="G65" s="177"/>
      <c r="H65" s="177"/>
      <c r="I65" s="177"/>
    </row>
    <row r="66" spans="1:9" ht="15">
      <c r="A66" s="118" t="s">
        <v>266</v>
      </c>
      <c r="B66" s="174"/>
      <c r="C66" s="175"/>
      <c r="D66" s="176"/>
      <c r="E66" s="177"/>
      <c r="F66" s="177"/>
      <c r="G66" s="177"/>
      <c r="H66" s="177"/>
      <c r="I66" s="177"/>
    </row>
    <row r="67" spans="1:9" ht="13.5" thickBot="1">
      <c r="B67" s="174"/>
      <c r="C67" s="175"/>
      <c r="D67" s="176"/>
      <c r="E67" s="177"/>
      <c r="F67" s="177"/>
      <c r="G67" s="177"/>
      <c r="H67" s="177"/>
      <c r="I67" s="177"/>
    </row>
    <row r="68" spans="1:9">
      <c r="B68" s="121"/>
      <c r="C68" s="122"/>
      <c r="D68" s="274" t="s">
        <v>226</v>
      </c>
      <c r="E68" s="276" t="s">
        <v>227</v>
      </c>
      <c r="F68" s="276"/>
      <c r="G68" s="165" t="s">
        <v>228</v>
      </c>
      <c r="H68" s="276" t="s">
        <v>229</v>
      </c>
      <c r="I68" s="289"/>
    </row>
    <row r="69" spans="1:9">
      <c r="B69" s="124"/>
      <c r="C69" s="125"/>
      <c r="D69" s="275"/>
      <c r="E69" s="126">
        <v>0.25</v>
      </c>
      <c r="F69" s="127">
        <v>0.1</v>
      </c>
      <c r="G69" s="166"/>
      <c r="H69" s="127">
        <v>0.1</v>
      </c>
      <c r="I69" s="129">
        <v>0.25</v>
      </c>
    </row>
    <row r="70" spans="1:9">
      <c r="B70" s="124"/>
      <c r="C70" s="125"/>
      <c r="D70" s="130" t="str">
        <f>IF(Inputs!$C$12,Inputs!$C$11,"")</f>
        <v>Irr Corn</v>
      </c>
      <c r="E70" s="131">
        <f>IF(Inputs!$C$12,'Share Summary'!$B$10*0.75,"")</f>
        <v>82.5</v>
      </c>
      <c r="F70" s="131">
        <f>IF(Inputs!$C$12,'Share Summary'!$B$10*0.9,"")</f>
        <v>99</v>
      </c>
      <c r="G70" s="167">
        <f>IF(Inputs!$C$12,'Share Summary'!$B$10,"")</f>
        <v>110</v>
      </c>
      <c r="H70" s="131">
        <f>IF(Inputs!$C$12,'Share Summary'!$B$10*1.1,"")</f>
        <v>121.00000000000001</v>
      </c>
      <c r="I70" s="133">
        <f>IF(Inputs!$C$12,'Share Summary'!$B$10*1.25,"")</f>
        <v>137.5</v>
      </c>
    </row>
    <row r="71" spans="1:9">
      <c r="B71" s="124"/>
      <c r="C71" s="125"/>
      <c r="D71" s="130" t="str">
        <f>IF(Inputs!$D$12,Inputs!$D$11,"")</f>
        <v>Irr Soybeans</v>
      </c>
      <c r="E71" s="131">
        <f>IF(Inputs!$D$12,'Share Summary'!$C$10*0.75,"")</f>
        <v>22.5</v>
      </c>
      <c r="F71" s="131">
        <f>IF(Inputs!$D$12,'Share Summary'!$C$10*0.9,"")</f>
        <v>27</v>
      </c>
      <c r="G71" s="167">
        <f>IF(Inputs!$D$12,'Share Summary'!$C$10,"")</f>
        <v>30</v>
      </c>
      <c r="H71" s="131">
        <f>IF(Inputs!$D$12,'Share Summary'!$C$10*1.1,"")</f>
        <v>33</v>
      </c>
      <c r="I71" s="133">
        <f>IF(Inputs!$D$12,'Share Summary'!$C$10*1.25,"")</f>
        <v>37.5</v>
      </c>
    </row>
    <row r="72" spans="1:9">
      <c r="B72" s="124"/>
      <c r="C72" s="125"/>
      <c r="D72" s="130" t="str">
        <f>IF(Inputs!$E$12,Inputs!$E$11,"")</f>
        <v>Dry Corn</v>
      </c>
      <c r="E72" s="131">
        <f>IF(Inputs!$E$12,'Share Summary'!$D$10*0.75,"")</f>
        <v>52.5</v>
      </c>
      <c r="F72" s="131">
        <f>IF(Inputs!$E$12,'Share Summary'!$D$10*0.9,"")</f>
        <v>63</v>
      </c>
      <c r="G72" s="167">
        <f>IF(Inputs!$E$12,'Share Summary'!$D$10,"")</f>
        <v>70</v>
      </c>
      <c r="H72" s="131">
        <f>IF(Inputs!$E$12,'Share Summary'!$D$10*1.1,"")</f>
        <v>77</v>
      </c>
      <c r="I72" s="133">
        <f>IF(Inputs!$E$12,'Share Summary'!$D$10*1.25,"")</f>
        <v>87.5</v>
      </c>
    </row>
    <row r="73" spans="1:9">
      <c r="B73" s="280" t="s">
        <v>230</v>
      </c>
      <c r="C73" s="281"/>
      <c r="D73" s="134" t="str">
        <f>IF(Inputs!$F$12,Inputs!$F$11,"")</f>
        <v>Dry Soybeans</v>
      </c>
      <c r="E73" s="131">
        <f>IF(Inputs!$F$12,'Share Summary'!$E$10*0.75,"")</f>
        <v>16.875</v>
      </c>
      <c r="F73" s="131">
        <f>IF(Inputs!$F$12,'Share Summary'!$E$10*0.9,"")</f>
        <v>20.25</v>
      </c>
      <c r="G73" s="167">
        <f>IF(Inputs!$F$12,'Share Summary'!$E$10,"")</f>
        <v>22.5</v>
      </c>
      <c r="H73" s="131">
        <f>IF(Inputs!$F$12,'Share Summary'!$E$10*1.1,"")</f>
        <v>24.750000000000004</v>
      </c>
      <c r="I73" s="133">
        <f>IF(Inputs!$F$12,'Share Summary'!$E$10*1.25,"")</f>
        <v>28.125</v>
      </c>
    </row>
    <row r="74" spans="1:9">
      <c r="B74" s="135"/>
      <c r="C74" s="136" t="str">
        <f>IF(Inputs!$C$12,Inputs!$C$11,"")</f>
        <v>Irr Corn</v>
      </c>
      <c r="D74" s="137">
        <f>IF(Inputs!$C$12,Inputs!$C$18*0.75,"")</f>
        <v>4.125</v>
      </c>
      <c r="E74" s="277">
        <f>IF(Inputs!$J$12,(SUMPRODUCT(D74:D77,$E$70:$E$73,$F$349:$F$352)+SUM('Share Summary'!$G$13:$G$15)-'Share Summary'!$G$41+'Cash Summary'!$G$17+($E$69*'Share Summary'!$G$29)+('Share Sensitivity'!$E$69*'Share Summary'!$G$29*(Inputs!$C$174*(Inputs!$C$175/12))))/Inputs!J13,"")</f>
        <v>186.01474023437498</v>
      </c>
      <c r="F74" s="277">
        <f>IF(Inputs!$J$12,(SUMPRODUCT(D74:D77,$F$70:$F$73,$F$349:$F$352)+SUM('Share Summary'!$G$13:$G$15)-'Share Summary'!$G$41+'Cash Summary'!$G$17+($F$69*'Share Summary'!$G$29)+('Share Sensitivity'!$F$69*'Share Summary'!$G$29*(Inputs!$C$174*(Inputs!$C$175/12))))/Inputs!J13,"")</f>
        <v>234.26312734375</v>
      </c>
      <c r="G74" s="300">
        <f>IF(Inputs!$J$12,(SUMPRODUCT(D74:D77,$G$70:$G$73,$F$349:$F$352)+SUM('Share Summary'!$G$13:$G$15)-'Share Summary'!$G$41+'Cash Summary'!$G$17)/Inputs!J13,"")</f>
        <v>266.42871875000003</v>
      </c>
      <c r="H74" s="277">
        <f>IF(Inputs!$J$12,(SUMPRODUCT(D74:D77,$H$70:$H$73,$F$349:$F$352)+SUM('Share Summary'!$G$13:$G$15)-'Share Summary'!$G$41+'Cash Summary'!$G$17-($H$69*'Share Summary'!$G$29)-('Share Sensitivity'!$H$69*'Share Summary'!$G$29*(Inputs!$C$174*(Inputs!$C$175/12))))/Inputs!J13,"")</f>
        <v>298.59431015625</v>
      </c>
      <c r="I74" s="285">
        <f>IF(Inputs!$J$12,(SUMPRODUCT(D74:D77,$I$70:$I$73,$F$349:$F$352)+SUM('Share Summary'!$G$13:$G$15)-'Share Summary'!$G$41+'Cash Summary'!$G$17-($I$69*'Share Summary'!$G$29)-('Share Sensitivity'!$I$69*'Share Summary'!$G$29*(Inputs!$C$174*(Inputs!$C$175/12))))/Inputs!J13,"")</f>
        <v>346.84269726562502</v>
      </c>
    </row>
    <row r="75" spans="1:9">
      <c r="B75" s="138">
        <v>0.25</v>
      </c>
      <c r="C75" s="139" t="str">
        <f>IF(Inputs!$D$12,Inputs!$D$11,"")</f>
        <v>Irr Soybeans</v>
      </c>
      <c r="D75" s="137">
        <f>IF(Inputs!$D$12,Inputs!$D$18*0.75,"")</f>
        <v>8.625</v>
      </c>
      <c r="E75" s="278"/>
      <c r="F75" s="278"/>
      <c r="G75" s="301"/>
      <c r="H75" s="278"/>
      <c r="I75" s="286"/>
    </row>
    <row r="76" spans="1:9">
      <c r="B76" s="138" t="s">
        <v>227</v>
      </c>
      <c r="C76" s="139" t="str">
        <f>IF(Inputs!$E$12,Inputs!$E$11,"")</f>
        <v>Dry Corn</v>
      </c>
      <c r="D76" s="137">
        <f>IF(Inputs!$E$12,Inputs!$E$18*0.75,"")</f>
        <v>4.125</v>
      </c>
      <c r="E76" s="278"/>
      <c r="F76" s="278"/>
      <c r="G76" s="301"/>
      <c r="H76" s="278"/>
      <c r="I76" s="286"/>
    </row>
    <row r="77" spans="1:9">
      <c r="B77" s="140"/>
      <c r="C77" s="141" t="str">
        <f>IF(Inputs!$F$12,Inputs!$F$11,"")</f>
        <v>Dry Soybeans</v>
      </c>
      <c r="D77" s="142">
        <f>IF(Inputs!$F$12,Inputs!$F$18*0.75,"")</f>
        <v>8.625</v>
      </c>
      <c r="E77" s="278"/>
      <c r="F77" s="278"/>
      <c r="G77" s="301"/>
      <c r="H77" s="278"/>
      <c r="I77" s="286"/>
    </row>
    <row r="78" spans="1:9">
      <c r="B78" s="143"/>
      <c r="C78" s="139" t="str">
        <f>IF(Inputs!$C$12,Inputs!$C$11,"")</f>
        <v>Irr Corn</v>
      </c>
      <c r="D78" s="137">
        <f>IF(Inputs!$C$12,Inputs!$C$18*0.9,"")</f>
        <v>4.95</v>
      </c>
      <c r="E78" s="277">
        <f>IF(Inputs!$J$12,(SUMPRODUCT(D78:D81,$E$70:$E$73,$F$349:$F$352)+SUM('Share Summary'!$G$13:$G$15)-'Share Summary'!$G$41+'Cash Summary'!$G$17+($E$69*'Share Summary'!$G$29)+('Share Sensitivity'!$E$69*'Share Summary'!$G$29*(Inputs!$C$174*(Inputs!$C$175/12))))/Inputs!J13,"")</f>
        <v>236.22225976562498</v>
      </c>
      <c r="F78" s="277">
        <f>IF(Inputs!$J$12,(SUMPRODUCT(D78:D81,$F$70:$F$73,$F$349:$F$352)+SUM('Share Summary'!$G$13:$G$15)-'Share Summary'!$G$41+'Cash Summary'!$G$17+($F$69*'Share Summary'!$G$29)+('Share Sensitivity'!$F$69*'Share Summary'!$G$29*(Inputs!$C$174*(Inputs!$C$175/12))))/Inputs!J13,"")</f>
        <v>294.51215078125</v>
      </c>
      <c r="G78" s="300">
        <f>IF(Inputs!$J$12,(SUMPRODUCT(D78:D81,$G$70:$G$73,$F$349:$F$352)+SUM('Share Summary'!$G$13:$G$15)-'Share Summary'!$G$41+'Cash Summary'!$G$17)/Inputs!J13,"")</f>
        <v>333.37207812500003</v>
      </c>
      <c r="H78" s="277">
        <f>IF(Inputs!$J$12,(SUMPRODUCT(D78:D81,$H$70:$H$73,$F$349:$F$352)+SUM('Share Summary'!$G$13:$G$15)-'Share Summary'!$G$41+'Cash Summary'!$G$17-($H$69*'Share Summary'!$G$29)-('Share Sensitivity'!$H$69*'Share Summary'!$G$29*(Inputs!$C$174*(Inputs!$C$175/12))))/Inputs!J13,"")</f>
        <v>372.23200546875</v>
      </c>
      <c r="I78" s="285">
        <f>IF(Inputs!$J$12,(SUMPRODUCT(D78:D81,$I$70:$I$73,$F$349:$F$352)+SUM('Share Summary'!$G$13:$G$15)-'Share Summary'!$G$41+'Cash Summary'!$G$17-($I$69*'Share Summary'!$G$29)-('Share Sensitivity'!$I$69*'Share Summary'!$G$29*(Inputs!$C$174*(Inputs!$C$175/12))))/Inputs!J13,"")</f>
        <v>430.52189648437496</v>
      </c>
    </row>
    <row r="79" spans="1:9">
      <c r="B79" s="138">
        <v>0.1</v>
      </c>
      <c r="C79" s="139" t="str">
        <f>IF(Inputs!$D$12,Inputs!$D$11,"")</f>
        <v>Irr Soybeans</v>
      </c>
      <c r="D79" s="137">
        <f>IF(Inputs!$D$12,Inputs!$D$18*0.9,"")</f>
        <v>10.35</v>
      </c>
      <c r="E79" s="278"/>
      <c r="F79" s="278"/>
      <c r="G79" s="301"/>
      <c r="H79" s="278"/>
      <c r="I79" s="286"/>
    </row>
    <row r="80" spans="1:9">
      <c r="B80" s="138" t="s">
        <v>227</v>
      </c>
      <c r="C80" s="139" t="str">
        <f>IF(Inputs!$E$12,Inputs!$E$11,"")</f>
        <v>Dry Corn</v>
      </c>
      <c r="D80" s="137">
        <f>IF(Inputs!$E$12,Inputs!$E$18*0.9,"")</f>
        <v>4.95</v>
      </c>
      <c r="E80" s="278"/>
      <c r="F80" s="278"/>
      <c r="G80" s="301"/>
      <c r="H80" s="278"/>
      <c r="I80" s="286"/>
    </row>
    <row r="81" spans="2:9">
      <c r="B81" s="140"/>
      <c r="C81" s="141" t="str">
        <f>IF(Inputs!$F$12,Inputs!$F$11,"")</f>
        <v>Dry Soybeans</v>
      </c>
      <c r="D81" s="142">
        <f>IF(Inputs!$F$12,Inputs!$F$18*0.9,"")</f>
        <v>10.35</v>
      </c>
      <c r="E81" s="278"/>
      <c r="F81" s="278"/>
      <c r="G81" s="301"/>
      <c r="H81" s="278"/>
      <c r="I81" s="286"/>
    </row>
    <row r="82" spans="2:9">
      <c r="B82" s="168"/>
      <c r="C82" s="169" t="str">
        <f>IF(Inputs!$C$12,Inputs!$C$11,"")</f>
        <v>Irr Corn</v>
      </c>
      <c r="D82" s="170">
        <f>IF(Inputs!$C$12,Inputs!$C$18,"")</f>
        <v>5.5</v>
      </c>
      <c r="E82" s="300">
        <f>IF(Inputs!$J$12,(SUMPRODUCT(D82:D85,$E$70:$E$73,$F$349:$F$352)+SUM('Share Summary'!$G$13:$G$15)-'Share Summary'!$G$41+'Cash Summary'!$G$17+($E$69*'Share Summary'!$G$29)+('Share Sensitivity'!$E$69*'Share Summary'!$G$29*(Inputs!$C$174*(Inputs!$C$175/12))))/Inputs!J13,"")</f>
        <v>269.69393945312498</v>
      </c>
      <c r="F82" s="300">
        <f>IF(Inputs!$J$12,(SUMPRODUCT(D82:D85,$F$70:$F$73,$F$349:$F$352)+SUM('Share Summary'!$G$13:$G$15)-'Share Summary'!$G$41+'Cash Summary'!$G$17+($F$69*'Share Summary'!$G$29)+('Share Sensitivity'!$F$69*'Share Summary'!$G$29*(Inputs!$C$174*(Inputs!$C$175/12))))/Inputs!J13,"")</f>
        <v>334.67816640625</v>
      </c>
      <c r="G82" s="300">
        <f>IF(Inputs!$J$12,(SUMPRODUCT(D82:D85,$G$70:$G$73,$F$349:$F$352)+SUM('Share Summary'!$G$13:$G$15)-'Share Summary'!$G$41+'Cash Summary'!$G$17)/Inputs!J13,"")</f>
        <v>378.00098437500003</v>
      </c>
      <c r="H82" s="300">
        <f>IF(Inputs!$J$12,(SUMPRODUCT(D82:D85,$H$70:$H$73,$F$349:$F$352)+SUM('Share Summary'!$G$13:$G$15)-'Share Summary'!$G$41+'Cash Summary'!$G$17-($H$69*'Share Summary'!$G$29)-('Share Sensitivity'!$H$69*'Share Summary'!$G$29*(Inputs!$C$174*(Inputs!$C$175/12))))/Inputs!J13,"")</f>
        <v>421.32380234375006</v>
      </c>
      <c r="I82" s="306">
        <f>IF(Inputs!$J$12,(SUMPRODUCT(D82:D85,$I$70:$I$73,$F$349:$F$352)+SUM('Share Summary'!$G$13:$G$15)-'Share Summary'!$G$41+'Cash Summary'!$G$17-($I$69*'Share Summary'!$G$29)-('Share Sensitivity'!$I$69*'Share Summary'!$G$29*(Inputs!$C$174*(Inputs!$C$175/12))))/Inputs!J13,"")</f>
        <v>486.30802929687496</v>
      </c>
    </row>
    <row r="83" spans="2:9">
      <c r="B83" s="303" t="s">
        <v>228</v>
      </c>
      <c r="C83" s="169" t="str">
        <f>IF(Inputs!$D$12,Inputs!$D$11,"")</f>
        <v>Irr Soybeans</v>
      </c>
      <c r="D83" s="170">
        <f>IF(Inputs!$D$12,Inputs!$D$18,"")</f>
        <v>11.5</v>
      </c>
      <c r="E83" s="301"/>
      <c r="F83" s="301"/>
      <c r="G83" s="301"/>
      <c r="H83" s="301"/>
      <c r="I83" s="307"/>
    </row>
    <row r="84" spans="2:9">
      <c r="B84" s="303"/>
      <c r="C84" s="169" t="str">
        <f>IF(Inputs!$E$12,Inputs!$E$11,"")</f>
        <v>Dry Corn</v>
      </c>
      <c r="D84" s="170">
        <f>IF(Inputs!$E$12,Inputs!$E$18,"")</f>
        <v>5.5</v>
      </c>
      <c r="E84" s="301"/>
      <c r="F84" s="301"/>
      <c r="G84" s="301"/>
      <c r="H84" s="301"/>
      <c r="I84" s="307"/>
    </row>
    <row r="85" spans="2:9">
      <c r="B85" s="171"/>
      <c r="C85" s="172" t="str">
        <f>IF(Inputs!$F$12,Inputs!$F$11,"")</f>
        <v>Dry Soybeans</v>
      </c>
      <c r="D85" s="173">
        <f>IF(Inputs!$F$12,Inputs!$F$18,"")</f>
        <v>11.5</v>
      </c>
      <c r="E85" s="301"/>
      <c r="F85" s="301"/>
      <c r="G85" s="301"/>
      <c r="H85" s="301"/>
      <c r="I85" s="307"/>
    </row>
    <row r="86" spans="2:9">
      <c r="B86" s="143"/>
      <c r="C86" s="139" t="str">
        <f>IF(Inputs!$C$12,Inputs!$C$11,"")</f>
        <v>Irr Corn</v>
      </c>
      <c r="D86" s="137">
        <f>IF(Inputs!$C$12,Inputs!$C$18*1.1,"")</f>
        <v>6.0500000000000007</v>
      </c>
      <c r="E86" s="277">
        <f>IF(Inputs!$J$12,(SUMPRODUCT(D86:D89,$E$70:$E$73,$F$349:$F$352)+SUM('Share Summary'!$G$13:$G$15)-'Share Summary'!$G$41+'Cash Summary'!$G$17+($E$69*'Share Summary'!$G$29)+('Share Sensitivity'!$E$69*'Share Summary'!$G$29*(Inputs!$C$174*(Inputs!$C$175/12))))/Inputs!J13,"")</f>
        <v>303.16561914062498</v>
      </c>
      <c r="F86" s="277">
        <f>IF(Inputs!$J$12,(SUMPRODUCT(D86:D89,$F$70:$F$73,$F$349:$F$352)+SUM('Share Summary'!$G$13:$G$15)-'Share Summary'!$G$41+'Cash Summary'!$G$17+($F$69*'Share Summary'!$G$29)+('Share Sensitivity'!$F$69*'Share Summary'!$G$29*(Inputs!$C$174*(Inputs!$C$175/12))))/Inputs!J13,"")</f>
        <v>374.84418203125</v>
      </c>
      <c r="G86" s="300">
        <f>IF(Inputs!$J$12,(SUMPRODUCT(D86:D89,$G$70:$G$73,$F$349:$F$352)+SUM('Share Summary'!$G$13:$G$15)-'Share Summary'!$G$41+'Cash Summary'!$G$17)/Inputs!J13,"")</f>
        <v>422.62989062500003</v>
      </c>
      <c r="H86" s="277">
        <f>IF(Inputs!$J$12,(SUMPRODUCT(D86:D89,$H$70:$H$73,$F$349:$F$352)+SUM('Share Summary'!$G$13:$G$15)-'Share Summary'!$G$41+'Cash Summary'!$G$17-($H$69*'Share Summary'!$G$29)-('Share Sensitivity'!$H$69*'Share Summary'!$G$29*(Inputs!$C$174*(Inputs!$C$175/12))))/Inputs!J13,"")</f>
        <v>470.41559921875012</v>
      </c>
      <c r="I86" s="285">
        <f>IF(Inputs!$J$12,(SUMPRODUCT(D86:D89,$I$70:$I$73,$F$349:$F$352)+SUM('Share Summary'!$G$13:$G$15)-'Share Summary'!$G$41+'Cash Summary'!$G$17-($I$69*'Share Summary'!$G$29)-('Share Sensitivity'!$I$69*'Share Summary'!$G$29*(Inputs!$C$174*(Inputs!$C$175/12))))/Inputs!J13,"")</f>
        <v>542.09416210937502</v>
      </c>
    </row>
    <row r="87" spans="2:9">
      <c r="B87" s="138">
        <v>0.1</v>
      </c>
      <c r="C87" s="139" t="str">
        <f>IF(Inputs!$D$12,Inputs!$D$11,"")</f>
        <v>Irr Soybeans</v>
      </c>
      <c r="D87" s="137">
        <f>IF(Inputs!$D$12,Inputs!$D$18*1.1,"")</f>
        <v>12.65</v>
      </c>
      <c r="E87" s="278"/>
      <c r="F87" s="278"/>
      <c r="G87" s="301"/>
      <c r="H87" s="278"/>
      <c r="I87" s="286"/>
    </row>
    <row r="88" spans="2:9">
      <c r="B88" s="138" t="s">
        <v>229</v>
      </c>
      <c r="C88" s="139" t="str">
        <f>IF(Inputs!$E$12,Inputs!$E$11,"")</f>
        <v>Dry Corn</v>
      </c>
      <c r="D88" s="137">
        <f>IF(Inputs!$E$12,Inputs!$E$18*1.1,"")</f>
        <v>6.0500000000000007</v>
      </c>
      <c r="E88" s="278"/>
      <c r="F88" s="278"/>
      <c r="G88" s="301"/>
      <c r="H88" s="278"/>
      <c r="I88" s="286"/>
    </row>
    <row r="89" spans="2:9">
      <c r="B89" s="140"/>
      <c r="C89" s="141" t="str">
        <f>IF(Inputs!$F$12,Inputs!$F$11,"")</f>
        <v>Dry Soybeans</v>
      </c>
      <c r="D89" s="142">
        <f>IF(Inputs!$F$12,Inputs!$F$18*1.1,"")</f>
        <v>12.65</v>
      </c>
      <c r="E89" s="278"/>
      <c r="F89" s="278"/>
      <c r="G89" s="301"/>
      <c r="H89" s="278"/>
      <c r="I89" s="286"/>
    </row>
    <row r="90" spans="2:9">
      <c r="B90" s="143"/>
      <c r="C90" s="139" t="str">
        <f>IF(Inputs!$C$12,Inputs!$C$11,"")</f>
        <v>Irr Corn</v>
      </c>
      <c r="D90" s="137">
        <f>IF(Inputs!$C$12,Inputs!$C$18*1.25,"")</f>
        <v>6.875</v>
      </c>
      <c r="E90" s="277">
        <f>IF(Inputs!$J$12,(SUMPRODUCT(D90:D93,$E$70:$E$73,$F$349:$F$352)+SUM('Share Summary'!$G$13:$G$15)-'Share Summary'!$G$41+'Cash Summary'!$G$17+($E$69*'Share Summary'!$G$29)+('Share Sensitivity'!$E$69*'Share Summary'!$G$29*(Inputs!$C$174*(Inputs!$C$175/12))))/Inputs!J13,"")</f>
        <v>353.37313867187498</v>
      </c>
      <c r="F90" s="277">
        <f>IF(Inputs!$J$12,(SUMPRODUCT(D90:D93,$F$70:$F$73,$F$349:$F$352)+SUM('Share Summary'!$G$13:$G$15)-'Share Summary'!$G$41+'Cash Summary'!$G$17+($F$69*'Share Summary'!$G$29)+('Share Sensitivity'!$F$69*'Share Summary'!$G$29*(Inputs!$C$174*(Inputs!$C$175/12))))/Inputs!J13,"")</f>
        <v>435.09320546874994</v>
      </c>
      <c r="G90" s="300">
        <f>IF(Inputs!$J$12,(SUMPRODUCT(D90:D93,$G$70:$G$73,$F$349:$F$352)+SUM('Share Summary'!$G$13:$G$15)-'Share Summary'!$G$41+'Cash Summary'!$G$17)/Inputs!J13,"")</f>
        <v>489.57325000000003</v>
      </c>
      <c r="H90" s="277">
        <f>IF(Inputs!$J$12,(SUMPRODUCT(D90:D93,$H$70:$H$73,$F$349:$F$352)+SUM('Share Summary'!$G$13:$G$15)-'Share Summary'!$G$41+'Cash Summary'!$G$17-($H$69*'Share Summary'!$G$29)-('Share Sensitivity'!$H$69*'Share Summary'!$G$29*(Inputs!$C$174*(Inputs!$C$175/12))))/Inputs!J13,"")</f>
        <v>544.05329453125</v>
      </c>
      <c r="I90" s="285">
        <f>IF(Inputs!$J$12,(SUMPRODUCT(D90:D93,$I$70:$I$73,$F$349:$F$352)+SUM('Share Summary'!$G$13:$G$15)-'Share Summary'!$G$41+'Cash Summary'!$G$17-($I$69*'Share Summary'!$G$29)-('Share Sensitivity'!$I$69*'Share Summary'!$G$29*(Inputs!$C$174*(Inputs!$C$175/12))))/Inputs!J13,"")</f>
        <v>625.77336132812502</v>
      </c>
    </row>
    <row r="91" spans="2:9">
      <c r="B91" s="138">
        <v>0.25</v>
      </c>
      <c r="C91" s="139" t="str">
        <f>IF(Inputs!$D$12,Inputs!$D$11,"")</f>
        <v>Irr Soybeans</v>
      </c>
      <c r="D91" s="137">
        <f>IF(Inputs!$D$12,Inputs!$D$18*1.25,"")</f>
        <v>14.375</v>
      </c>
      <c r="E91" s="278"/>
      <c r="F91" s="278"/>
      <c r="G91" s="301"/>
      <c r="H91" s="278"/>
      <c r="I91" s="286"/>
    </row>
    <row r="92" spans="2:9">
      <c r="B92" s="138" t="s">
        <v>229</v>
      </c>
      <c r="C92" s="139" t="str">
        <f>IF(Inputs!$E$12,Inputs!$E$11,"")</f>
        <v>Dry Corn</v>
      </c>
      <c r="D92" s="137">
        <f>IF(Inputs!$E$12,Inputs!$E$18*1.25,"")</f>
        <v>6.875</v>
      </c>
      <c r="E92" s="278"/>
      <c r="F92" s="278"/>
      <c r="G92" s="301"/>
      <c r="H92" s="278"/>
      <c r="I92" s="286"/>
    </row>
    <row r="93" spans="2:9" ht="13.5" thickBot="1">
      <c r="B93" s="151"/>
      <c r="C93" s="152" t="str">
        <f>IF(Inputs!$F$12,Inputs!$F$11,"")</f>
        <v>Dry Soybeans</v>
      </c>
      <c r="D93" s="158">
        <f>IF(Inputs!$F$12,Inputs!$F$18*1.25,"")</f>
        <v>14.375</v>
      </c>
      <c r="E93" s="279"/>
      <c r="F93" s="279"/>
      <c r="G93" s="302"/>
      <c r="H93" s="279"/>
      <c r="I93" s="287"/>
    </row>
    <row r="94" spans="2:9">
      <c r="B94" s="174"/>
      <c r="C94" s="175"/>
      <c r="D94" s="176"/>
      <c r="E94" s="177"/>
      <c r="F94" s="177"/>
      <c r="G94" s="177"/>
      <c r="H94" s="177"/>
      <c r="I94" s="177"/>
    </row>
    <row r="95" spans="2:9">
      <c r="B95" s="174"/>
      <c r="C95" s="175"/>
      <c r="D95" s="176"/>
      <c r="E95" s="177"/>
      <c r="F95" s="177"/>
      <c r="G95" s="177"/>
      <c r="H95" s="177"/>
      <c r="I95" s="177"/>
    </row>
    <row r="96" spans="2:9">
      <c r="B96" s="174"/>
      <c r="C96" s="175"/>
      <c r="D96" s="176"/>
      <c r="E96" s="177"/>
      <c r="F96" s="177"/>
      <c r="G96" s="177"/>
      <c r="H96" s="177"/>
      <c r="I96" s="177"/>
    </row>
    <row r="97" spans="1:10">
      <c r="B97" s="174"/>
      <c r="C97" s="175"/>
      <c r="D97" s="176"/>
      <c r="E97" s="177"/>
      <c r="F97" s="177"/>
      <c r="G97" s="177"/>
      <c r="H97" s="177"/>
      <c r="I97" s="177"/>
    </row>
    <row r="98" spans="1:10">
      <c r="B98" s="174"/>
      <c r="C98" s="175"/>
      <c r="D98" s="176"/>
      <c r="E98" s="177"/>
      <c r="F98" s="177"/>
      <c r="G98" s="177"/>
      <c r="H98" s="177"/>
      <c r="I98" s="177"/>
    </row>
    <row r="99" spans="1:10">
      <c r="B99" s="174"/>
      <c r="C99" s="175"/>
      <c r="D99" s="176"/>
      <c r="E99" s="177"/>
      <c r="F99" s="177"/>
      <c r="G99" s="177"/>
      <c r="H99" s="177"/>
      <c r="I99" s="177"/>
    </row>
    <row r="100" spans="1:10">
      <c r="B100" s="174"/>
      <c r="C100" s="175"/>
      <c r="D100" s="176"/>
      <c r="E100" s="177"/>
      <c r="F100" s="177"/>
      <c r="G100" s="177"/>
      <c r="H100" s="177"/>
      <c r="I100" s="177"/>
    </row>
    <row r="101" spans="1:10" ht="18.75" thickBot="1">
      <c r="A101" s="29" t="s">
        <v>267</v>
      </c>
      <c r="B101" s="104"/>
      <c r="C101" s="104"/>
      <c r="D101" s="115"/>
      <c r="E101" s="104"/>
      <c r="F101" s="104"/>
      <c r="G101" s="104"/>
      <c r="H101" s="104"/>
      <c r="I101" s="116"/>
      <c r="J101" s="104"/>
    </row>
    <row r="103" spans="1:10" ht="15">
      <c r="A103" s="105" t="str">
        <f>Inputs!H4</f>
        <v>Average Joe Tenant</v>
      </c>
    </row>
    <row r="104" spans="1:10" ht="15">
      <c r="A104" s="105" t="str">
        <f>Inputs!B9</f>
        <v>Pivot Irrigated Quarter Section with Dryland Corners</v>
      </c>
    </row>
    <row r="106" spans="1:10" ht="15">
      <c r="A106" s="118" t="s">
        <v>224</v>
      </c>
      <c r="B106" s="18"/>
      <c r="C106" s="18"/>
      <c r="D106" s="18"/>
      <c r="E106" s="18"/>
      <c r="F106" s="18"/>
      <c r="G106" s="18"/>
      <c r="H106" s="18"/>
      <c r="I106" s="18"/>
      <c r="J106" s="18"/>
    </row>
    <row r="107" spans="1:10" ht="15">
      <c r="A107" s="118" t="s">
        <v>264</v>
      </c>
      <c r="B107" s="18"/>
      <c r="C107" s="18"/>
      <c r="D107" s="18"/>
      <c r="E107" s="18"/>
      <c r="F107" s="18"/>
      <c r="G107" s="18"/>
      <c r="H107" s="18"/>
      <c r="I107" s="18"/>
      <c r="J107" s="18"/>
    </row>
    <row r="108" spans="1:10" ht="14.25" customHeight="1" thickBot="1">
      <c r="B108" s="119"/>
      <c r="C108" s="119"/>
      <c r="D108" s="120"/>
      <c r="E108" s="119"/>
      <c r="F108" s="119"/>
      <c r="G108" s="119"/>
      <c r="H108" s="119"/>
      <c r="I108" s="119"/>
      <c r="J108" s="18"/>
    </row>
    <row r="109" spans="1:10">
      <c r="B109" s="121"/>
      <c r="C109" s="122"/>
      <c r="D109" s="274" t="s">
        <v>226</v>
      </c>
      <c r="E109" s="276" t="s">
        <v>227</v>
      </c>
      <c r="F109" s="276"/>
      <c r="G109" s="123" t="s">
        <v>228</v>
      </c>
      <c r="H109" s="276" t="s">
        <v>229</v>
      </c>
      <c r="I109" s="289"/>
    </row>
    <row r="110" spans="1:10">
      <c r="B110" s="124"/>
      <c r="C110" s="125"/>
      <c r="D110" s="275"/>
      <c r="E110" s="126">
        <v>0.25</v>
      </c>
      <c r="F110" s="127">
        <v>0.1</v>
      </c>
      <c r="G110" s="128"/>
      <c r="H110" s="127">
        <v>0.1</v>
      </c>
      <c r="I110" s="129">
        <v>0.25</v>
      </c>
    </row>
    <row r="111" spans="1:10" ht="11.25" customHeight="1">
      <c r="B111" s="124"/>
      <c r="C111" s="125"/>
      <c r="D111" s="130" t="str">
        <f>IF(Inputs!$C$12,Inputs!$C$11,"")</f>
        <v>Irr Corn</v>
      </c>
      <c r="E111" s="131">
        <f>IF(Inputs!$C$12,'Share Summary'!$B$77*0.75,"")</f>
        <v>82.5</v>
      </c>
      <c r="F111" s="131">
        <f>IF(Inputs!$C$12,'Share Summary'!$B$77*0.9,"")</f>
        <v>99</v>
      </c>
      <c r="G111" s="132">
        <f>IF(Inputs!$C$12,'Share Summary'!$B$77,"")</f>
        <v>110</v>
      </c>
      <c r="H111" s="131">
        <f>IF(Inputs!$C$12,'Share Summary'!$B$77*1.1,"")</f>
        <v>121.00000000000001</v>
      </c>
      <c r="I111" s="133">
        <f>IF(Inputs!$C$12,'Share Summary'!$B$77*1.25,"")</f>
        <v>137.5</v>
      </c>
    </row>
    <row r="112" spans="1:10" ht="11.25" customHeight="1">
      <c r="B112" s="124"/>
      <c r="C112" s="125"/>
      <c r="D112" s="130" t="str">
        <f>IF(Inputs!$D$12,Inputs!$D$11,"")</f>
        <v>Irr Soybeans</v>
      </c>
      <c r="E112" s="131">
        <f>IF(Inputs!$D$12,'Share Summary'!$C$77*0.75,"")</f>
        <v>22.5</v>
      </c>
      <c r="F112" s="131">
        <f>IF(Inputs!$D$12,'Share Summary'!$C$77*0.9,"")</f>
        <v>27</v>
      </c>
      <c r="G112" s="132">
        <f>IF(Inputs!$D$12,'Share Summary'!$C$77,"")</f>
        <v>30</v>
      </c>
      <c r="H112" s="131">
        <f>IF(Inputs!$D$12,'Share Summary'!$C$77*1.1,"")</f>
        <v>33</v>
      </c>
      <c r="I112" s="133">
        <f>IF(Inputs!$D$12,'Share Summary'!$C$77*1.25,"")</f>
        <v>37.5</v>
      </c>
    </row>
    <row r="113" spans="2:12" ht="11.25" customHeight="1">
      <c r="B113" s="124"/>
      <c r="C113" s="125"/>
      <c r="D113" s="130" t="str">
        <f>IF(Inputs!$E$12,Inputs!$E$11,"")</f>
        <v>Dry Corn</v>
      </c>
      <c r="E113" s="131">
        <f>IF(Inputs!$E$12,'Share Summary'!$D$77*0.75,"")</f>
        <v>52.5</v>
      </c>
      <c r="F113" s="131">
        <f>IF(Inputs!$E$12,'Share Summary'!$D$77*0.9,"")</f>
        <v>63</v>
      </c>
      <c r="G113" s="132">
        <f>IF(Inputs!$E$12,'Share Summary'!$D$77,"")</f>
        <v>70</v>
      </c>
      <c r="H113" s="131">
        <f>IF(Inputs!$E$12,'Share Summary'!$D$77*1.1,"")</f>
        <v>77</v>
      </c>
      <c r="I113" s="133">
        <f>IF(Inputs!$E$12,'Share Summary'!$D$77*1.25,"")</f>
        <v>87.5</v>
      </c>
    </row>
    <row r="114" spans="2:12" ht="12" customHeight="1">
      <c r="B114" s="280" t="s">
        <v>230</v>
      </c>
      <c r="C114" s="281"/>
      <c r="D114" s="134" t="str">
        <f>IF(Inputs!$F$12,Inputs!$F$11,"")</f>
        <v>Dry Soybeans</v>
      </c>
      <c r="E114" s="131">
        <f>IF(Inputs!$F$12,'Share Summary'!$E$77*0.75,"")</f>
        <v>16.875</v>
      </c>
      <c r="F114" s="131">
        <f>IF(Inputs!$F$12,'Share Summary'!$E$77*0.9,"")</f>
        <v>20.25</v>
      </c>
      <c r="G114" s="132">
        <f>IF(Inputs!$F$12,'Share Summary'!$E$77,"")</f>
        <v>22.5</v>
      </c>
      <c r="H114" s="131">
        <f>IF(Inputs!$F$12,'Share Summary'!$E$77*1.1,"")</f>
        <v>24.750000000000004</v>
      </c>
      <c r="I114" s="133">
        <f>IF(Inputs!$F$12,'Share Summary'!$E$77*1.25,"")</f>
        <v>28.125</v>
      </c>
    </row>
    <row r="115" spans="2:12">
      <c r="B115" s="135"/>
      <c r="C115" s="136" t="str">
        <f>IF(Inputs!$C$12,Inputs!$C$11,"")</f>
        <v>Irr Corn</v>
      </c>
      <c r="D115" s="137">
        <f>IF(Inputs!$C$12,Inputs!$C$18*0.75,"")</f>
        <v>4.125</v>
      </c>
      <c r="E115" s="277">
        <f>IF(Inputs!$J$12,(SUMPRODUCT(D115:D118,$E$111:$E$114,$F$349:$F$352)+SUM('Share Summary'!$G$80:$G$81)-'Share Summary'!$G$98+($E$110*'Share Summary'!$G$95)+('Share Sensitivity'!$E$110*'Share Summary'!$G$95*(Inputs!$C$174*(Inputs!$C$175/12))))/Inputs!J13,"")</f>
        <v>29.560637109375023</v>
      </c>
      <c r="F115" s="277">
        <f>IF(Inputs!$J$12,(SUMPRODUCT(D115:D118,$F$111:$F$114,$F$349:$F$352)+SUM('Share Summary'!$G$80:$G$81)-'Share Summary'!$G$98+($F$110*'Share Summary'!$G$95)+('Share Sensitivity'!$F$110*'Share Summary'!$G$95*(Inputs!$C$174*(Inputs!$C$175/12))))/Inputs!J13,"")</f>
        <v>77.809024218750025</v>
      </c>
      <c r="G115" s="282">
        <f>IF(Inputs!$J$12,(SUMPRODUCT(D115:D118,$G$111:$G$114,$F$349:$F$352)+SUM('Share Summary'!$G$80:$G$81)-'Share Summary'!$G$98)/Inputs!J13,"")</f>
        <v>109.97461562500003</v>
      </c>
      <c r="H115" s="277">
        <f>IF(Inputs!$J$12,(SUMPRODUCT(D115:D118,$H$111:$H$114,$F$349:$F$352)+SUM('Share Summary'!$G$80:$G$81)-'Share Summary'!$G$98-($H$110*'Share Summary'!$G$95)-('Share Sensitivity'!$H$110*'Share Summary'!$G$95*(Inputs!$C$174*(Inputs!$C$175/12))))/Inputs!J13,"")</f>
        <v>142.14020703125001</v>
      </c>
      <c r="I115" s="285">
        <f>IF(Inputs!$J$12,(SUMPRODUCT(D115:D118,$I$111:$I$114,$F$349:$F$352)+SUM('Share Summary'!$G$80:$G$81)-'Share Summary'!$G$98-($I$110*'Share Summary'!$G$95)-('Share Sensitivity'!$I$110*'Share Summary'!$G$95*(Inputs!$C$174*(Inputs!$C$175/12))))/Inputs!J13,"")</f>
        <v>190.388594140625</v>
      </c>
    </row>
    <row r="116" spans="2:12">
      <c r="B116" s="138">
        <v>0.25</v>
      </c>
      <c r="C116" s="139" t="str">
        <f>IF(Inputs!$D$12,Inputs!$D$11,"")</f>
        <v>Irr Soybeans</v>
      </c>
      <c r="D116" s="137">
        <f>IF(Inputs!$D$12,Inputs!$D$18*0.75,"")</f>
        <v>8.625</v>
      </c>
      <c r="E116" s="295"/>
      <c r="F116" s="295"/>
      <c r="G116" s="298"/>
      <c r="H116" s="295"/>
      <c r="I116" s="304"/>
      <c r="L116" s="82"/>
    </row>
    <row r="117" spans="2:12">
      <c r="B117" s="138" t="s">
        <v>227</v>
      </c>
      <c r="C117" s="139" t="str">
        <f>IF(Inputs!$E$12,Inputs!$E$11,"")</f>
        <v>Dry Corn</v>
      </c>
      <c r="D117" s="137">
        <f>IF(Inputs!$E$12,Inputs!$E$18*0.75,"")</f>
        <v>4.125</v>
      </c>
      <c r="E117" s="295"/>
      <c r="F117" s="295"/>
      <c r="G117" s="298"/>
      <c r="H117" s="295"/>
      <c r="I117" s="304"/>
      <c r="L117" s="82"/>
    </row>
    <row r="118" spans="2:12">
      <c r="B118" s="140"/>
      <c r="C118" s="141" t="str">
        <f>IF(Inputs!$F$12,Inputs!$F$11,"")</f>
        <v>Dry Soybeans</v>
      </c>
      <c r="D118" s="142">
        <f>IF(Inputs!$F$12,Inputs!$F$18*0.75,"")</f>
        <v>8.625</v>
      </c>
      <c r="E118" s="296"/>
      <c r="F118" s="296"/>
      <c r="G118" s="299"/>
      <c r="H118" s="296"/>
      <c r="I118" s="305"/>
      <c r="L118" s="82"/>
    </row>
    <row r="119" spans="2:12">
      <c r="B119" s="143"/>
      <c r="C119" s="139" t="str">
        <f>IF(Inputs!$C$12,Inputs!$C$11,"")</f>
        <v>Irr Corn</v>
      </c>
      <c r="D119" s="137">
        <f>IF(Inputs!$C$12,Inputs!$C$18*0.9,"")</f>
        <v>4.95</v>
      </c>
      <c r="E119" s="277">
        <f>IF(Inputs!$J$12,(SUMPRODUCT(D119:D122,$E$111:$E$114,$F$349:$F$352)+SUM('Share Summary'!$G$80:$G$81)-'Share Summary'!$G$98+($E$110*'Share Summary'!$G$95)+('Share Sensitivity'!$E$110*'Share Summary'!$G$95*(Inputs!$C$174*(Inputs!$C$175/12))))/Inputs!J13,"")</f>
        <v>79.768156640625023</v>
      </c>
      <c r="F119" s="277">
        <f>IF(Inputs!$J$12,(SUMPRODUCT(D119:D122,$F$111:$F$114,$F$349:$F$352)+SUM('Share Summary'!$G$80:$G$81)-'Share Summary'!$G$98+($F$110*'Share Summary'!$G$95)+('Share Sensitivity'!$F$110*'Share Summary'!$G$95*(Inputs!$C$174*(Inputs!$C$175/12))))/Inputs!J13,"")</f>
        <v>138.05804765625004</v>
      </c>
      <c r="G119" s="282">
        <f>IF(Inputs!$J$12,(SUMPRODUCT(D119:D122,$G$111:$G$114,$F$349:$F$352)+SUM('Share Summary'!$G$80:$G$81)-'Share Summary'!$G$98)/Inputs!J13,"")</f>
        <v>176.91797500000001</v>
      </c>
      <c r="H119" s="277">
        <f>IF(Inputs!$J$12,(SUMPRODUCT(D119:D122,$H$111:$H$114,$F$349:$F$352)+SUM('Share Summary'!$G$80:$G$81)-'Share Summary'!$G$98-($H$110*'Share Summary'!$G$95)-('Share Sensitivity'!$H$110*'Share Summary'!$G$95*(Inputs!$C$174*(Inputs!$C$175/12))))/Inputs!J13,"")</f>
        <v>215.77790234375001</v>
      </c>
      <c r="I119" s="285">
        <f>IF(Inputs!$J$12,(SUMPRODUCT(D119:D122,$I$111:$I$114,$F$349:$F$352)+SUM('Share Summary'!$G$80:$G$81)-'Share Summary'!$G$98-($I$110*'Share Summary'!$G$95)-('Share Sensitivity'!$I$110*'Share Summary'!$G$95*(Inputs!$C$174*(Inputs!$C$175/12))))/Inputs!J13,"")</f>
        <v>274.06779335937506</v>
      </c>
    </row>
    <row r="120" spans="2:12">
      <c r="B120" s="138">
        <v>0.1</v>
      </c>
      <c r="C120" s="139" t="str">
        <f>IF(Inputs!$D$12,Inputs!$D$11,"")</f>
        <v>Irr Soybeans</v>
      </c>
      <c r="D120" s="137">
        <f>IF(Inputs!$D$12,Inputs!$D$18*0.9,"")</f>
        <v>10.35</v>
      </c>
      <c r="E120" s="295"/>
      <c r="F120" s="295"/>
      <c r="G120" s="298"/>
      <c r="H120" s="295"/>
      <c r="I120" s="304"/>
    </row>
    <row r="121" spans="2:12">
      <c r="B121" s="138" t="s">
        <v>227</v>
      </c>
      <c r="C121" s="139" t="str">
        <f>IF(Inputs!$E$12,Inputs!$E$11,"")</f>
        <v>Dry Corn</v>
      </c>
      <c r="D121" s="137">
        <f>IF(Inputs!$E$12,Inputs!$E$18*0.9,"")</f>
        <v>4.95</v>
      </c>
      <c r="E121" s="295"/>
      <c r="F121" s="295"/>
      <c r="G121" s="298"/>
      <c r="H121" s="295"/>
      <c r="I121" s="304"/>
    </row>
    <row r="122" spans="2:12">
      <c r="B122" s="140"/>
      <c r="C122" s="141" t="str">
        <f>IF(Inputs!$F$12,Inputs!$F$11,"")</f>
        <v>Dry Soybeans</v>
      </c>
      <c r="D122" s="142">
        <f>IF(Inputs!$F$12,Inputs!$F$18*0.9,"")</f>
        <v>10.35</v>
      </c>
      <c r="E122" s="296"/>
      <c r="F122" s="296"/>
      <c r="G122" s="299"/>
      <c r="H122" s="296"/>
      <c r="I122" s="305"/>
    </row>
    <row r="123" spans="2:12">
      <c r="B123" s="144"/>
      <c r="C123" s="145" t="str">
        <f>IF(Inputs!$C$12,Inputs!$C$11,"")</f>
        <v>Irr Corn</v>
      </c>
      <c r="D123" s="146">
        <f>IF(Inputs!$C$12,Inputs!$C$18,"")</f>
        <v>5.5</v>
      </c>
      <c r="E123" s="282">
        <f>IF(Inputs!$J$12,(SUMPRODUCT(D123:D126,$E$111:$E$114,$F$349:$F$352)+SUM('Share Summary'!$G$80:$G$81)-'Share Summary'!$G$98+($E$110*'Share Summary'!$G$95)+('Share Sensitivity'!$E$110*'Share Summary'!$G$95*(Inputs!$C$174*(Inputs!$C$175/12))))/Inputs!J13,"")</f>
        <v>113.23983632812504</v>
      </c>
      <c r="F123" s="282">
        <f>IF(Inputs!$J$12,(SUMPRODUCT(D123:D126,$F$111:$F$114,$F$349:$F$352)+SUM('Share Summary'!$G$80:$G$81)-'Share Summary'!$G$98+($F$110*'Share Summary'!$G$95)+('Share Sensitivity'!$F$110*'Share Summary'!$G$95*(Inputs!$C$174*(Inputs!$C$175/12))))/Inputs!J13,"")</f>
        <v>178.22406328125004</v>
      </c>
      <c r="G123" s="282">
        <f>IF(Inputs!$J$12,(SUMPRODUCT(D123:D126,$G$111:$G$114,$F$349:$F$352)+SUM('Share Summary'!$G$80:$G$81)-'Share Summary'!$G$98)/Inputs!J13,"")</f>
        <v>221.54688125000001</v>
      </c>
      <c r="H123" s="282">
        <f>IF(Inputs!$J$12,(SUMPRODUCT(D123:D126,$H$111:$H$114,$F$349:$F$352)+SUM('Share Summary'!$G$80:$G$81)-'Share Summary'!$G$98-($H$110*'Share Summary'!$G$95)-('Share Sensitivity'!$H$110*'Share Summary'!$G$95*(Inputs!$C$174*(Inputs!$C$175/12))))/Inputs!J13,"")</f>
        <v>264.86969921875004</v>
      </c>
      <c r="I123" s="290">
        <f>IF(Inputs!$J$12,(SUMPRODUCT(D123:D126,$I$111:$I$114,$F$349:$F$352)+SUM('Share Summary'!$G$80:$G$81)-'Share Summary'!$G$98-($I$110*'Share Summary'!$G$95)-('Share Sensitivity'!$I$110*'Share Summary'!$G$95*(Inputs!$C$174*(Inputs!$C$175/12))))/Inputs!J13,"")</f>
        <v>329.85392617187506</v>
      </c>
      <c r="L123" s="147"/>
    </row>
    <row r="124" spans="2:12">
      <c r="B124" s="284" t="s">
        <v>228</v>
      </c>
      <c r="C124" s="145" t="str">
        <f>IF(Inputs!$D$12,Inputs!$D$11,"")</f>
        <v>Irr Soybeans</v>
      </c>
      <c r="D124" s="146">
        <f>IF(Inputs!$D$12,Inputs!$D$18,"")</f>
        <v>11.5</v>
      </c>
      <c r="E124" s="298"/>
      <c r="F124" s="298"/>
      <c r="G124" s="298"/>
      <c r="H124" s="298"/>
      <c r="I124" s="310"/>
    </row>
    <row r="125" spans="2:12">
      <c r="B125" s="284"/>
      <c r="C125" s="145" t="str">
        <f>IF(Inputs!$E$12,Inputs!$E$11,"")</f>
        <v>Dry Corn</v>
      </c>
      <c r="D125" s="146">
        <f>IF(Inputs!$E$12,Inputs!$E$18,"")</f>
        <v>5.5</v>
      </c>
      <c r="E125" s="298"/>
      <c r="F125" s="298"/>
      <c r="G125" s="298"/>
      <c r="H125" s="298"/>
      <c r="I125" s="310"/>
    </row>
    <row r="126" spans="2:12">
      <c r="B126" s="148"/>
      <c r="C126" s="149" t="str">
        <f>IF(Inputs!$F$12,Inputs!$F$11,"")</f>
        <v>Dry Soybeans</v>
      </c>
      <c r="D126" s="150">
        <f>IF(Inputs!$F$12,Inputs!$F$18,"")</f>
        <v>11.5</v>
      </c>
      <c r="E126" s="299"/>
      <c r="F126" s="299"/>
      <c r="G126" s="299"/>
      <c r="H126" s="299"/>
      <c r="I126" s="311"/>
    </row>
    <row r="127" spans="2:12">
      <c r="B127" s="143"/>
      <c r="C127" s="139" t="str">
        <f>IF(Inputs!$C$12,Inputs!$C$11,"")</f>
        <v>Irr Corn</v>
      </c>
      <c r="D127" s="137">
        <f>IF(Inputs!$C$12,Inputs!$C$18*1.1,"")</f>
        <v>6.0500000000000007</v>
      </c>
      <c r="E127" s="277">
        <f>IF(Inputs!$J$12,(SUMPRODUCT(D127:D130,$E$111:$E$114,$F$349:$F$352)+SUM('Share Summary'!$G$80:$G$81)-'Share Summary'!$G$98+($E$110*'Share Summary'!$G$95)+('Share Sensitivity'!$E$110*'Share Summary'!$G$95*(Inputs!$C$174*(Inputs!$C$175/12))))/Inputs!J13,"")</f>
        <v>146.71151601562502</v>
      </c>
      <c r="F127" s="277">
        <f>IF(Inputs!$J$12,(SUMPRODUCT(D127:D130,$F$111:$F$114,$F$349:$F$352)+SUM('Share Summary'!$G$80:$G$81)-'Share Summary'!$G$98+($F$110*'Share Summary'!$G$95)+('Share Sensitivity'!$F$110*'Share Summary'!$G$95*(Inputs!$C$174*(Inputs!$C$175/12))))/Inputs!J13,"")</f>
        <v>218.39007890625004</v>
      </c>
      <c r="G127" s="282">
        <f>IF(Inputs!$J$12,(SUMPRODUCT(D127:D130,$G$111:$G$114,$F$349:$F$352)+SUM('Share Summary'!$G$80:$G$81)-'Share Summary'!$G$98)/Inputs!J13,"")</f>
        <v>266.17578750000001</v>
      </c>
      <c r="H127" s="277">
        <f>IF(Inputs!$J$12,(SUMPRODUCT(D127:D130,$H$111:$H$114,$F$349:$F$352)+SUM('Share Summary'!$G$80:$G$81)-'Share Summary'!$G$98-($H$110*'Share Summary'!$G$95)-('Share Sensitivity'!$H$110*'Share Summary'!$G$95*(Inputs!$C$174*(Inputs!$C$175/12))))/Inputs!J13,"")</f>
        <v>313.9614960937501</v>
      </c>
      <c r="I127" s="285">
        <f>IF(Inputs!$J$12,(SUMPRODUCT(D127:D130,$I$111:$I$114,$F$349:$F$352)+SUM('Share Summary'!$G$80:$G$81)-'Share Summary'!$G$98-($I$110*'Share Summary'!$G$95)-('Share Sensitivity'!$I$110*'Share Summary'!$G$95*(Inputs!$C$174*(Inputs!$C$175/12))))/Inputs!J13,"")</f>
        <v>385.64005898437506</v>
      </c>
    </row>
    <row r="128" spans="2:12">
      <c r="B128" s="138">
        <v>0.1</v>
      </c>
      <c r="C128" s="139" t="str">
        <f>IF(Inputs!$D$12,Inputs!$D$11,"")</f>
        <v>Irr Soybeans</v>
      </c>
      <c r="D128" s="137">
        <f>IF(Inputs!$D$12,Inputs!$D$18*1.1,"")</f>
        <v>12.65</v>
      </c>
      <c r="E128" s="295"/>
      <c r="F128" s="295"/>
      <c r="G128" s="298"/>
      <c r="H128" s="295"/>
      <c r="I128" s="304"/>
    </row>
    <row r="129" spans="1:10">
      <c r="B129" s="138" t="s">
        <v>229</v>
      </c>
      <c r="C129" s="139" t="str">
        <f>IF(Inputs!$E$12,Inputs!$E$11,"")</f>
        <v>Dry Corn</v>
      </c>
      <c r="D129" s="137">
        <f>IF(Inputs!$E$12,Inputs!$E$18*1.1,"")</f>
        <v>6.0500000000000007</v>
      </c>
      <c r="E129" s="295"/>
      <c r="F129" s="295"/>
      <c r="G129" s="298"/>
      <c r="H129" s="295"/>
      <c r="I129" s="304"/>
    </row>
    <row r="130" spans="1:10">
      <c r="B130" s="140"/>
      <c r="C130" s="141" t="str">
        <f>IF(Inputs!$F$12,Inputs!$F$11,"")</f>
        <v>Dry Soybeans</v>
      </c>
      <c r="D130" s="142">
        <f>IF(Inputs!$F$12,Inputs!$F$18*1.1,"")</f>
        <v>12.65</v>
      </c>
      <c r="E130" s="296"/>
      <c r="F130" s="296"/>
      <c r="G130" s="299"/>
      <c r="H130" s="296"/>
      <c r="I130" s="305"/>
    </row>
    <row r="131" spans="1:10">
      <c r="B131" s="143"/>
      <c r="C131" s="139" t="str">
        <f>IF(Inputs!$C$12,Inputs!$C$11,"")</f>
        <v>Irr Corn</v>
      </c>
      <c r="D131" s="137">
        <f>IF(Inputs!$C$12,Inputs!$C$18*1.25,"")</f>
        <v>6.875</v>
      </c>
      <c r="E131" s="277">
        <f>IF(Inputs!$J$12,(SUMPRODUCT(D131:D134,$E$111:$E$114,$F$349:$F$352)+SUM('Share Summary'!$G$80:$G$81)-'Share Summary'!$G$98+($E$110*'Share Summary'!$G$95)+('Share Sensitivity'!$E$110*'Share Summary'!$G$95*(Inputs!$C$174*(Inputs!$C$175/12))))/Inputs!J13,"")</f>
        <v>196.91903554687502</v>
      </c>
      <c r="F131" s="277">
        <f>IF(Inputs!$J$12,(SUMPRODUCT(D131:D134,$F$111:$F$114,$F$349:$F$352)+SUM('Share Summary'!$G$80:$G$81)-'Share Summary'!$G$98+($F$110*'Share Summary'!$G$95)+('Share Sensitivity'!$F$110*'Share Summary'!$G$95*(Inputs!$C$174*(Inputs!$C$175/12))))/Inputs!J13,"")</f>
        <v>278.63910234375004</v>
      </c>
      <c r="G131" s="282">
        <f>IF(Inputs!$J$12,(SUMPRODUCT(D131:D134,$G$111:$G$114,$F$349:$F$352)+SUM('Share Summary'!$G$80:$G$81)-'Share Summary'!$G$98)/Inputs!J13,"")</f>
        <v>333.11914687500001</v>
      </c>
      <c r="H131" s="277">
        <f>IF(Inputs!$J$12,(SUMPRODUCT(D131:D134,$H$111:$H$114,$F$349:$F$352)+SUM('Share Summary'!$G$80:$G$81)-'Share Summary'!$G$98-($H$110*'Share Summary'!$G$95)-('Share Sensitivity'!$H$110*'Share Summary'!$G$95*(Inputs!$C$174*(Inputs!$C$175/12))))/Inputs!J13,"")</f>
        <v>387.59919140625004</v>
      </c>
      <c r="I131" s="285">
        <f>IF(Inputs!$J$12,(SUMPRODUCT(D131:D134,$I$111:$I$114,$F$349:$F$352)+SUM('Share Summary'!$G$80:$G$81)-'Share Summary'!$G$98-($I$110*'Share Summary'!$G$95)-('Share Sensitivity'!$I$110*'Share Summary'!$G$95*(Inputs!$C$174*(Inputs!$C$175/12))))/Inputs!J13,"")</f>
        <v>469.319258203125</v>
      </c>
    </row>
    <row r="132" spans="1:10">
      <c r="B132" s="138">
        <v>0.25</v>
      </c>
      <c r="C132" s="139" t="str">
        <f>IF(Inputs!$D$12,Inputs!$D$11,"")</f>
        <v>Irr Soybeans</v>
      </c>
      <c r="D132" s="137">
        <f>IF(Inputs!$D$12,Inputs!$D$18*1.25,"")</f>
        <v>14.375</v>
      </c>
      <c r="E132" s="295"/>
      <c r="F132" s="295"/>
      <c r="G132" s="298"/>
      <c r="H132" s="295"/>
      <c r="I132" s="304"/>
    </row>
    <row r="133" spans="1:10">
      <c r="B133" s="138" t="s">
        <v>229</v>
      </c>
      <c r="C133" s="139" t="str">
        <f>IF(Inputs!$E$12,Inputs!$E$11,"")</f>
        <v>Dry Corn</v>
      </c>
      <c r="D133" s="137">
        <f>IF(Inputs!$E$12,Inputs!$E$18*1.25,"")</f>
        <v>6.875</v>
      </c>
      <c r="E133" s="295"/>
      <c r="F133" s="295"/>
      <c r="G133" s="298"/>
      <c r="H133" s="295"/>
      <c r="I133" s="304"/>
    </row>
    <row r="134" spans="1:10" ht="13.5" thickBot="1">
      <c r="B134" s="151"/>
      <c r="C134" s="152" t="str">
        <f>IF(Inputs!$F$12,Inputs!$F$11,"")</f>
        <v>Dry Soybeans</v>
      </c>
      <c r="D134" s="158">
        <f>IF(Inputs!$F$12,Inputs!$F$18*1.25,"")</f>
        <v>14.375</v>
      </c>
      <c r="E134" s="308"/>
      <c r="F134" s="308"/>
      <c r="G134" s="309"/>
      <c r="H134" s="308"/>
      <c r="I134" s="312"/>
    </row>
    <row r="135" spans="1:10" ht="13.5" customHeight="1">
      <c r="G135" s="18"/>
    </row>
    <row r="136" spans="1:10" ht="15">
      <c r="A136" s="118" t="s">
        <v>328</v>
      </c>
      <c r="B136" s="18"/>
      <c r="C136" s="18"/>
      <c r="D136" s="18"/>
      <c r="E136" s="18"/>
      <c r="F136" s="18"/>
      <c r="G136" s="18"/>
      <c r="H136" s="18"/>
      <c r="I136" s="18"/>
      <c r="J136" s="18"/>
    </row>
    <row r="137" spans="1:10" ht="15">
      <c r="A137" s="118" t="s">
        <v>264</v>
      </c>
      <c r="B137" s="18"/>
      <c r="C137" s="18"/>
      <c r="D137" s="18"/>
      <c r="E137" s="18"/>
      <c r="F137" s="18"/>
      <c r="G137" s="18"/>
      <c r="H137" s="18"/>
      <c r="I137" s="18"/>
      <c r="J137" s="18"/>
    </row>
    <row r="138" spans="1:10" ht="13.5" thickBot="1"/>
    <row r="139" spans="1:10">
      <c r="B139" s="154"/>
      <c r="C139" s="122"/>
      <c r="D139" s="274" t="s">
        <v>226</v>
      </c>
      <c r="E139" s="276" t="s">
        <v>227</v>
      </c>
      <c r="F139" s="276"/>
      <c r="G139" s="123" t="s">
        <v>228</v>
      </c>
      <c r="H139" s="276" t="s">
        <v>229</v>
      </c>
      <c r="I139" s="289"/>
    </row>
    <row r="140" spans="1:10">
      <c r="B140" s="124"/>
      <c r="C140" s="125"/>
      <c r="D140" s="275"/>
      <c r="E140" s="126">
        <v>0.25</v>
      </c>
      <c r="F140" s="127">
        <v>0.1</v>
      </c>
      <c r="G140" s="128"/>
      <c r="H140" s="127">
        <v>0.1</v>
      </c>
      <c r="I140" s="129">
        <v>0.25</v>
      </c>
    </row>
    <row r="141" spans="1:10">
      <c r="B141" s="124"/>
      <c r="C141" s="125"/>
      <c r="D141" s="130" t="str">
        <f>IF(Inputs!$C$12,Inputs!$C$11,"")</f>
        <v>Irr Corn</v>
      </c>
      <c r="E141" s="131">
        <f>IF(Inputs!$C$12,'Share Summary'!$B$77*0.75,"")</f>
        <v>82.5</v>
      </c>
      <c r="F141" s="131">
        <f>IF(Inputs!$C$12,'Share Summary'!$B$77*0.9,"")</f>
        <v>99</v>
      </c>
      <c r="G141" s="132">
        <f>IF(Inputs!$C$12,'Share Summary'!$B$77,"")</f>
        <v>110</v>
      </c>
      <c r="H141" s="131">
        <f>IF(Inputs!$C$12,'Share Summary'!$B$77*1.1,"")</f>
        <v>121.00000000000001</v>
      </c>
      <c r="I141" s="133">
        <f>IF(Inputs!$C$12,'Share Summary'!$B$77*1.25,"")</f>
        <v>137.5</v>
      </c>
    </row>
    <row r="142" spans="1:10">
      <c r="B142" s="124"/>
      <c r="C142" s="125"/>
      <c r="D142" s="130" t="str">
        <f>IF(Inputs!$D$12,Inputs!$D$11,"")</f>
        <v>Irr Soybeans</v>
      </c>
      <c r="E142" s="131">
        <f>IF(Inputs!$D$12,'Share Summary'!$C$77*0.75,"")</f>
        <v>22.5</v>
      </c>
      <c r="F142" s="131">
        <f>IF(Inputs!$D$12,'Share Summary'!$C$77*0.9,"")</f>
        <v>27</v>
      </c>
      <c r="G142" s="132">
        <f>IF(Inputs!$D$12,'Share Summary'!$C$77,"")</f>
        <v>30</v>
      </c>
      <c r="H142" s="131">
        <f>IF(Inputs!$D$12,'Share Summary'!$C$77*1.1,"")</f>
        <v>33</v>
      </c>
      <c r="I142" s="133">
        <f>IF(Inputs!$D$12,'Share Summary'!$C$77*1.25,"")</f>
        <v>37.5</v>
      </c>
    </row>
    <row r="143" spans="1:10">
      <c r="B143" s="124"/>
      <c r="C143" s="125"/>
      <c r="D143" s="130" t="str">
        <f>IF(Inputs!$E$12,Inputs!$E$11,"")</f>
        <v>Dry Corn</v>
      </c>
      <c r="E143" s="131">
        <f>IF(Inputs!$E$12,'Share Summary'!$D$77*0.75,"")</f>
        <v>52.5</v>
      </c>
      <c r="F143" s="131">
        <f>IF(Inputs!$E$12,'Share Summary'!$D$77*0.9,"")</f>
        <v>63</v>
      </c>
      <c r="G143" s="132">
        <f>IF(Inputs!$E$12,'Share Summary'!$D$77,"")</f>
        <v>70</v>
      </c>
      <c r="H143" s="131">
        <f>IF(Inputs!$E$12,'Share Summary'!$D$77*1.1,"")</f>
        <v>77</v>
      </c>
      <c r="I143" s="133">
        <f>IF(Inputs!$E$12,'Share Summary'!$D$77*1.25,"")</f>
        <v>87.5</v>
      </c>
    </row>
    <row r="144" spans="1:10">
      <c r="B144" s="280" t="s">
        <v>230</v>
      </c>
      <c r="C144" s="281"/>
      <c r="D144" s="134" t="str">
        <f>IF(Inputs!$F$12,Inputs!$F$11,"")</f>
        <v>Dry Soybeans</v>
      </c>
      <c r="E144" s="131">
        <f>IF(Inputs!$F$12,'Share Summary'!$E$77*0.75,"")</f>
        <v>16.875</v>
      </c>
      <c r="F144" s="131">
        <f>IF(Inputs!$F$12,'Share Summary'!$E$77*0.9,"")</f>
        <v>20.25</v>
      </c>
      <c r="G144" s="132">
        <f>IF(Inputs!$F$12,'Share Summary'!$E$77,"")</f>
        <v>22.5</v>
      </c>
      <c r="H144" s="131">
        <f>IF(Inputs!$F$12,'Share Summary'!$E$77*1.1,"")</f>
        <v>24.750000000000004</v>
      </c>
      <c r="I144" s="133">
        <f>IF(Inputs!$F$12,'Share Summary'!$E$77*1.25,"")</f>
        <v>28.125</v>
      </c>
    </row>
    <row r="145" spans="2:9">
      <c r="B145" s="135"/>
      <c r="C145" s="136" t="str">
        <f>IF(Inputs!$C$12,Inputs!$C$11,"")</f>
        <v>Irr Corn</v>
      </c>
      <c r="D145" s="137">
        <f>IF(Inputs!$C$12,'Cash Summary'!$B$40*0.75,"")</f>
        <v>4.125</v>
      </c>
      <c r="E145" s="277">
        <f>IF(Inputs!$J$12,(SUMPRODUCT(D145:D148,$E$141:$E$144,$F$349:$F$352)+SUM('Share Summary'!$G$80:$G$81)-'Share Summary'!$G$107+($E$140*'Share Summary'!$G$95)+('Share Sensitivity'!$E$140*'Share Summary'!$G$95*(Inputs!$C$174*(Inputs!$C$175/12))))/Inputs!J13,"")</f>
        <v>-6.9393628906249756</v>
      </c>
      <c r="F145" s="277">
        <f>IF(Inputs!$J$12,(SUMPRODUCT(D145:D148,$F$141:$F$144,$F$349:$F$352)+SUM('Share Summary'!$G$80:$G$81)-'Share Summary'!$G$107+($F$140*'Share Summary'!$G$95)+('Share Sensitivity'!$F$140*'Share Summary'!$G$95*(Inputs!$C$174*(Inputs!$C$175/12))))/Inputs!J13,"")</f>
        <v>41.309024218750025</v>
      </c>
      <c r="G145" s="282">
        <f>IF(Inputs!$J$12,(SUMPRODUCT(D145:D148,$G$141:$G$144,$F$349:$F$352)+SUM('Share Summary'!$G$80:$G$81)-'Share Summary'!$G$107)/Inputs!J13,"")</f>
        <v>73.474615625000027</v>
      </c>
      <c r="H145" s="277">
        <f>IF(Inputs!$J$12,(SUMPRODUCT(D145:D148,$H$141:$H$144,$F$349:$F$352)+SUM('Share Summary'!$G$80:$G$81)-'Share Summary'!$G$107-($H$140*'Share Summary'!$G$95)-('Share Sensitivity'!$H$140*'Share Summary'!$G$95*(Inputs!$C$174*(Inputs!$C$175/12))))/Inputs!J13,"")</f>
        <v>105.64020703125001</v>
      </c>
      <c r="I145" s="285">
        <f>IF(Inputs!$J$12,(SUMPRODUCT(D145:D148,$I$141:$I$144,$F$349:$F$352)+SUM('Share Summary'!$G$80:$G$81)-'Share Summary'!$G$107-($I$140*'Share Summary'!$G$95)-('Share Sensitivity'!$I$140*'Share Summary'!$G$95*(Inputs!$C$174*(Inputs!$C$175/12))))/Inputs!J13,"")</f>
        <v>153.888594140625</v>
      </c>
    </row>
    <row r="146" spans="2:9">
      <c r="B146" s="138">
        <v>0.25</v>
      </c>
      <c r="C146" s="139" t="str">
        <f>IF(Inputs!$D$12,Inputs!$D$11,"")</f>
        <v>Irr Soybeans</v>
      </c>
      <c r="D146" s="137">
        <f>IF(Inputs!$D$12,'Cash Summary'!$C$40*0.75,"")</f>
        <v>8.625</v>
      </c>
      <c r="E146" s="278"/>
      <c r="F146" s="278"/>
      <c r="G146" s="283"/>
      <c r="H146" s="278"/>
      <c r="I146" s="286"/>
    </row>
    <row r="147" spans="2:9">
      <c r="B147" s="138" t="s">
        <v>227</v>
      </c>
      <c r="C147" s="139" t="str">
        <f>IF(Inputs!$E$12,Inputs!$E$11,"")</f>
        <v>Dry Corn</v>
      </c>
      <c r="D147" s="137">
        <f>IF(Inputs!$E$12,'Cash Summary'!$D$40*0.75,"")</f>
        <v>4.125</v>
      </c>
      <c r="E147" s="278"/>
      <c r="F147" s="278"/>
      <c r="G147" s="283"/>
      <c r="H147" s="278"/>
      <c r="I147" s="286"/>
    </row>
    <row r="148" spans="2:9">
      <c r="B148" s="140"/>
      <c r="C148" s="141" t="str">
        <f>IF(Inputs!$F$12,Inputs!$F$11,"")</f>
        <v>Dry Soybeans</v>
      </c>
      <c r="D148" s="142">
        <f>IF(Inputs!$F$12,'Cash Summary'!$E$40*0.75,"")</f>
        <v>8.625</v>
      </c>
      <c r="E148" s="278"/>
      <c r="F148" s="278"/>
      <c r="G148" s="283"/>
      <c r="H148" s="278"/>
      <c r="I148" s="286"/>
    </row>
    <row r="149" spans="2:9">
      <c r="B149" s="143"/>
      <c r="C149" s="139" t="str">
        <f>IF(Inputs!$C$12,Inputs!$C$11,"")</f>
        <v>Irr Corn</v>
      </c>
      <c r="D149" s="137">
        <f>IF(Inputs!$C$12,'Cash Summary'!$B$40*0.9,"")</f>
        <v>4.95</v>
      </c>
      <c r="E149" s="277">
        <f>IF(Inputs!$J$12,(SUMPRODUCT(D149:D152,$E$141:$E$144,$F$349:$F$352)+SUM('Share Summary'!$G$80:$G$81)-'Share Summary'!$G$107+($E$140*'Share Summary'!$G$95)+('Share Sensitivity'!$E$140*'Share Summary'!$G$95*(Inputs!$C$174*(Inputs!$C$175/12))))/Inputs!J13,"")</f>
        <v>43.268156640625023</v>
      </c>
      <c r="F149" s="277">
        <f>IF(Inputs!$J$12,(SUMPRODUCT(D149:D152,$F$141:$F$144,$F$349:$F$352)+SUM('Share Summary'!$G$80:$G$81)-'Share Summary'!$G$107+($F$140*'Share Summary'!$G$95)+('Share Sensitivity'!$F$140*'Share Summary'!$G$95*(Inputs!$C$174*(Inputs!$C$175/12))))/Inputs!J13,"")</f>
        <v>101.55804765625003</v>
      </c>
      <c r="G149" s="282">
        <f>IF(Inputs!$J$12,(SUMPRODUCT(D149:D152,$G$141:$G$144,$F$349:$F$352)+SUM('Share Summary'!$G$80:$G$81)-'Share Summary'!$G$107)/Inputs!J13,"")</f>
        <v>140.41797500000001</v>
      </c>
      <c r="H149" s="277">
        <f>IF(Inputs!$J$12,(SUMPRODUCT(D149:D152,$H$141:$H$144,$F$349:$F$352)+SUM('Share Summary'!$G$80:$G$81)-'Share Summary'!$G$107-($H$140*'Share Summary'!$G$95)-('Share Sensitivity'!$H$140*'Share Summary'!$G$95*(Inputs!$C$174*(Inputs!$C$175/12))))/Inputs!J13,"")</f>
        <v>179.27790234375001</v>
      </c>
      <c r="I149" s="285">
        <f>IF(Inputs!$J$12,(SUMPRODUCT(D149:D152,$I$141:$I$144,$F$349:$F$352)+SUM('Share Summary'!$G$80:$G$81)-'Share Summary'!$G$107-($I$140*'Share Summary'!$G$95)-('Share Sensitivity'!$I$140*'Share Summary'!$G$95*(Inputs!$C$174*(Inputs!$C$175/12))))/Inputs!J13,"")</f>
        <v>237.56779335937503</v>
      </c>
    </row>
    <row r="150" spans="2:9">
      <c r="B150" s="138">
        <v>0.1</v>
      </c>
      <c r="C150" s="139" t="str">
        <f>IF(Inputs!$D$12,Inputs!$D$11,"")</f>
        <v>Irr Soybeans</v>
      </c>
      <c r="D150" s="137">
        <f>IF(Inputs!$D$12,'Cash Summary'!$C$40*0.9,"")</f>
        <v>10.35</v>
      </c>
      <c r="E150" s="278"/>
      <c r="F150" s="278"/>
      <c r="G150" s="283"/>
      <c r="H150" s="278"/>
      <c r="I150" s="286"/>
    </row>
    <row r="151" spans="2:9">
      <c r="B151" s="138" t="s">
        <v>227</v>
      </c>
      <c r="C151" s="139" t="str">
        <f>IF(Inputs!$E$12,Inputs!$E$11,"")</f>
        <v>Dry Corn</v>
      </c>
      <c r="D151" s="137">
        <f>IF(Inputs!$E$12,'Cash Summary'!$D$40*0.9,"")</f>
        <v>4.95</v>
      </c>
      <c r="E151" s="278"/>
      <c r="F151" s="278"/>
      <c r="G151" s="283"/>
      <c r="H151" s="278"/>
      <c r="I151" s="286"/>
    </row>
    <row r="152" spans="2:9">
      <c r="B152" s="140"/>
      <c r="C152" s="141" t="str">
        <f>IF(Inputs!$F$12,Inputs!$F$11,"")</f>
        <v>Dry Soybeans</v>
      </c>
      <c r="D152" s="142">
        <f>IF(Inputs!$F$12,'Cash Summary'!$E$40*0.9,"")</f>
        <v>10.35</v>
      </c>
      <c r="E152" s="278"/>
      <c r="F152" s="278"/>
      <c r="G152" s="283"/>
      <c r="H152" s="278"/>
      <c r="I152" s="286"/>
    </row>
    <row r="153" spans="2:9">
      <c r="B153" s="144"/>
      <c r="C153" s="145" t="str">
        <f>IF(Inputs!$C$12,Inputs!$C$11,"")</f>
        <v>Irr Corn</v>
      </c>
      <c r="D153" s="146">
        <f>IF(Inputs!$C$12,'Cash Summary'!$B$40,"")</f>
        <v>5.5</v>
      </c>
      <c r="E153" s="282">
        <f>IF(Inputs!$J$12,(SUMPRODUCT(D153:D156,$E$141:$E$144,$F$349:$F$352)+SUM('Share Summary'!$G$80:$G$81)-'Share Summary'!$G$107+($E$140*'Share Summary'!$G$95)+('Share Sensitivity'!$E$140*'Share Summary'!$G$95*(Inputs!$C$174*(Inputs!$C$175/12))))/Inputs!J13,"")</f>
        <v>76.739836328125023</v>
      </c>
      <c r="F153" s="282">
        <f>IF(Inputs!$J$12,(SUMPRODUCT(D153:D156,$F$141:$F$144,$F$349:$F$352)+SUM('Share Summary'!$G$80:$G$81)-'Share Summary'!$G$107+($F$140*'Share Summary'!$G$95)+('Share Sensitivity'!$F$140*'Share Summary'!$G$95*(Inputs!$C$174*(Inputs!$C$175/12))))/Inputs!J13,"")</f>
        <v>141.72406328125004</v>
      </c>
      <c r="G153" s="282">
        <f>IF(Inputs!$J$12,(SUMPRODUCT(D153:D156,$G$141:$G$144,$F$349:$F$352)+SUM('Share Summary'!$G$80:$G$81)-'Share Summary'!$G$107)/Inputs!J13,"")</f>
        <v>185.04688125000001</v>
      </c>
      <c r="H153" s="282">
        <f>IF(Inputs!$J$12,(SUMPRODUCT(D153:D156,$H$141:$H$144,$F$349:$F$352)+SUM('Share Summary'!$G$80:$G$81)-'Share Summary'!$G$107-($H$140*'Share Summary'!$G$95)-('Share Sensitivity'!$H$140*'Share Summary'!$G$95*(Inputs!$C$174*(Inputs!$C$175/12))))/Inputs!J13,"")</f>
        <v>228.36969921875001</v>
      </c>
      <c r="I153" s="290">
        <f>IF(Inputs!$J$12,(SUMPRODUCT(D153:D156,$I$141:$I$144,$F$349:$F$352)+SUM('Share Summary'!$G$80:$G$81)-'Share Summary'!$G$107-($I$140*'Share Summary'!$G$95)-('Share Sensitivity'!$I$140*'Share Summary'!$G$95*(Inputs!$C$174*(Inputs!$C$175/12))))/Inputs!J13,"")</f>
        <v>293.35392617187506</v>
      </c>
    </row>
    <row r="154" spans="2:9">
      <c r="B154" s="284" t="s">
        <v>228</v>
      </c>
      <c r="C154" s="145" t="str">
        <f>IF(Inputs!$D$12,Inputs!$D$11,"")</f>
        <v>Irr Soybeans</v>
      </c>
      <c r="D154" s="146">
        <f>IF(Inputs!$D$12,'Cash Summary'!$C$40,"")</f>
        <v>11.5</v>
      </c>
      <c r="E154" s="283"/>
      <c r="F154" s="283"/>
      <c r="G154" s="283"/>
      <c r="H154" s="283"/>
      <c r="I154" s="291"/>
    </row>
    <row r="155" spans="2:9">
      <c r="B155" s="284"/>
      <c r="C155" s="145" t="str">
        <f>IF(Inputs!$E$12,Inputs!$E$11,"")</f>
        <v>Dry Corn</v>
      </c>
      <c r="D155" s="146">
        <f>IF(Inputs!$E$12,'Cash Summary'!$D$40,"")</f>
        <v>5.5</v>
      </c>
      <c r="E155" s="283"/>
      <c r="F155" s="283"/>
      <c r="G155" s="283"/>
      <c r="H155" s="283"/>
      <c r="I155" s="291"/>
    </row>
    <row r="156" spans="2:9">
      <c r="B156" s="148"/>
      <c r="C156" s="149" t="str">
        <f>IF(Inputs!$F$12,Inputs!$F$11,"")</f>
        <v>Dry Soybeans</v>
      </c>
      <c r="D156" s="150">
        <f>IF(Inputs!$F$12,'Cash Summary'!$E$40,"")</f>
        <v>11.5</v>
      </c>
      <c r="E156" s="283"/>
      <c r="F156" s="283"/>
      <c r="G156" s="283"/>
      <c r="H156" s="283"/>
      <c r="I156" s="291"/>
    </row>
    <row r="157" spans="2:9">
      <c r="B157" s="143"/>
      <c r="C157" s="139" t="str">
        <f>IF(Inputs!$C$12,Inputs!$C$11,"")</f>
        <v>Irr Corn</v>
      </c>
      <c r="D157" s="137">
        <f>IF(Inputs!$C$12,'Cash Summary'!$B$40*1.1,"")</f>
        <v>6.0500000000000007</v>
      </c>
      <c r="E157" s="277">
        <f>IF(Inputs!$J$12,(SUMPRODUCT(D157:D160,$E$141:$E$144,$F$349:$F$352)+SUM('Share Summary'!$G$80:$G$81)-'Share Summary'!$G$107+($E$140*'Share Summary'!$G$95)+('Share Sensitivity'!$E$140*'Share Summary'!$G$95*(Inputs!$C$174*(Inputs!$C$175/12))))/Inputs!J13,"")</f>
        <v>110.21151601562504</v>
      </c>
      <c r="F157" s="277">
        <f>IF(Inputs!$J$12,(SUMPRODUCT(D157:D160,$F$141:$F$144,$F$349:$F$352)+SUM('Share Summary'!$G$80:$G$81)-'Share Summary'!$G$107+($F$140*'Share Summary'!$G$95)+('Share Sensitivity'!$F$140*'Share Summary'!$G$95*(Inputs!$C$174*(Inputs!$C$175/12))))/Inputs!J13,"")</f>
        <v>181.89007890625004</v>
      </c>
      <c r="G157" s="282">
        <f>IF(Inputs!$J$12,(SUMPRODUCT(D157:D160,$G$141:$G$144,$F$349:$F$352)+SUM('Share Summary'!$G$80:$G$81)-'Share Summary'!$G$107)/Inputs!J13,"")</f>
        <v>229.67578750000001</v>
      </c>
      <c r="H157" s="277">
        <f>IF(Inputs!$J$12,(SUMPRODUCT(D157:D160,$H$141:$H$144,$F$349:$F$352)+SUM('Share Summary'!$G$80:$G$81)-'Share Summary'!$G$107-($H$140*'Share Summary'!$G$95)-('Share Sensitivity'!$H$140*'Share Summary'!$G$95*(Inputs!$C$174*(Inputs!$C$175/12))))/Inputs!J13,"")</f>
        <v>277.4614960937501</v>
      </c>
      <c r="I157" s="285">
        <f>IF(Inputs!$J$12,(SUMPRODUCT(D157:D160,$I$141:$I$144,$F$349:$F$352)+SUM('Share Summary'!$G$80:$G$81)-'Share Summary'!$G$107-($I$140*'Share Summary'!$G$95)-('Share Sensitivity'!$I$140*'Share Summary'!$G$95*(Inputs!$C$174*(Inputs!$C$175/12))))/Inputs!J13,"")</f>
        <v>349.14005898437506</v>
      </c>
    </row>
    <row r="158" spans="2:9">
      <c r="B158" s="138">
        <v>0.1</v>
      </c>
      <c r="C158" s="139" t="str">
        <f>IF(Inputs!$D$12,Inputs!$D$11,"")</f>
        <v>Irr Soybeans</v>
      </c>
      <c r="D158" s="137">
        <f>IF(Inputs!$D$12,'Cash Summary'!$C$40*1.1,"")</f>
        <v>12.65</v>
      </c>
      <c r="E158" s="278"/>
      <c r="F158" s="278"/>
      <c r="G158" s="283"/>
      <c r="H158" s="278"/>
      <c r="I158" s="286"/>
    </row>
    <row r="159" spans="2:9">
      <c r="B159" s="138" t="s">
        <v>229</v>
      </c>
      <c r="C159" s="139" t="str">
        <f>IF(Inputs!$E$12,Inputs!$E$11,"")</f>
        <v>Dry Corn</v>
      </c>
      <c r="D159" s="137">
        <f>IF(Inputs!$E$12,'Cash Summary'!$D$40*1.1,"")</f>
        <v>6.0500000000000007</v>
      </c>
      <c r="E159" s="278"/>
      <c r="F159" s="278"/>
      <c r="G159" s="283"/>
      <c r="H159" s="278"/>
      <c r="I159" s="286"/>
    </row>
    <row r="160" spans="2:9">
      <c r="B160" s="140"/>
      <c r="C160" s="141" t="str">
        <f>IF(Inputs!$F$12,Inputs!$F$11,"")</f>
        <v>Dry Soybeans</v>
      </c>
      <c r="D160" s="142">
        <f>IF(Inputs!$F$12,'Cash Summary'!$E$40*1.1,"")</f>
        <v>12.65</v>
      </c>
      <c r="E160" s="278"/>
      <c r="F160" s="278"/>
      <c r="G160" s="283"/>
      <c r="H160" s="278"/>
      <c r="I160" s="286"/>
    </row>
    <row r="161" spans="1:9">
      <c r="B161" s="143"/>
      <c r="C161" s="139" t="str">
        <f>IF(Inputs!$C$12,Inputs!$C$11,"")</f>
        <v>Irr Corn</v>
      </c>
      <c r="D161" s="137">
        <f>IF(Inputs!$C$12,'Cash Summary'!$B$40*1.25,"")</f>
        <v>6.875</v>
      </c>
      <c r="E161" s="277">
        <f>IF(Inputs!$J$12,(SUMPRODUCT(D161:D164,$E$141:$E$144,$F$349:$F$352)+SUM('Share Summary'!$G$80:$G$81)-'Share Summary'!$G$107+($E$140*'Share Summary'!$G$95)+('Share Sensitivity'!$E$140*'Share Summary'!$G$95*(Inputs!$C$174*(Inputs!$C$175/12))))/Inputs!J13,"")</f>
        <v>160.41903554687502</v>
      </c>
      <c r="F161" s="277">
        <f>IF(Inputs!$J$12,(SUMPRODUCT(D161:D164,$F$141:$F$144,$F$349:$F$352)+SUM('Share Summary'!$G$80:$G$81)-'Share Summary'!$G$107+($F$140*'Share Summary'!$G$95)+('Share Sensitivity'!$F$140*'Share Summary'!$G$95*(Inputs!$C$174*(Inputs!$C$175/12))))/Inputs!J13,"")</f>
        <v>242.13910234375004</v>
      </c>
      <c r="G161" s="282">
        <f>IF(Inputs!$J$12,(SUMPRODUCT(D161:D164,$G$141:$G$144,$F$349:$F$352)+SUM('Share Summary'!$G$80:$G$81)-'Share Summary'!$G$107)/Inputs!J13,"")</f>
        <v>296.61914687500001</v>
      </c>
      <c r="H161" s="277">
        <f>IF(Inputs!$J$12,(SUMPRODUCT(D161:D164,$H$141:$H$144,$F$349:$F$352)+SUM('Share Summary'!$G$80:$G$81)-'Share Summary'!$G$107-($H$140*'Share Summary'!$G$95)-('Share Sensitivity'!$H$140*'Share Summary'!$G$95*(Inputs!$C$174*(Inputs!$C$175/12))))/Inputs!J13,"")</f>
        <v>351.09919140625004</v>
      </c>
      <c r="I161" s="285">
        <f>IF(Inputs!$J$12,(SUMPRODUCT(D161:D164,$I$141:$I$144,$F$349:$F$352)+SUM('Share Summary'!$G$80:$G$81)-'Share Summary'!$G$107-($I$140*'Share Summary'!$G$95)-('Share Sensitivity'!$I$140*'Share Summary'!$G$95*(Inputs!$C$174*(Inputs!$C$175/12))))/Inputs!J13,"")</f>
        <v>432.819258203125</v>
      </c>
    </row>
    <row r="162" spans="1:9">
      <c r="B162" s="138">
        <v>0.25</v>
      </c>
      <c r="C162" s="139" t="str">
        <f>IF(Inputs!$D$12,Inputs!$D$11,"")</f>
        <v>Irr Soybeans</v>
      </c>
      <c r="D162" s="137">
        <f>IF(Inputs!$D$12,'Cash Summary'!$C$40*1.25,"")</f>
        <v>14.375</v>
      </c>
      <c r="E162" s="278"/>
      <c r="F162" s="278"/>
      <c r="G162" s="283"/>
      <c r="H162" s="278"/>
      <c r="I162" s="286"/>
    </row>
    <row r="163" spans="1:9">
      <c r="B163" s="138" t="s">
        <v>229</v>
      </c>
      <c r="C163" s="139" t="str">
        <f>IF(Inputs!$E$12,Inputs!$E$11,"")</f>
        <v>Dry Corn</v>
      </c>
      <c r="D163" s="137">
        <f>IF(Inputs!$E$12,'Cash Summary'!$D$40*1.25,"")</f>
        <v>6.875</v>
      </c>
      <c r="E163" s="278"/>
      <c r="F163" s="278"/>
      <c r="G163" s="283"/>
      <c r="H163" s="278"/>
      <c r="I163" s="286"/>
    </row>
    <row r="164" spans="1:9" ht="13.5" thickBot="1">
      <c r="B164" s="151"/>
      <c r="C164" s="152" t="str">
        <f>IF(Inputs!$F$12,Inputs!$F$11,"")</f>
        <v>Dry Soybeans</v>
      </c>
      <c r="D164" s="158">
        <f>IF(Inputs!$F$12,'Cash Summary'!$E$40*1.25,"")</f>
        <v>14.375</v>
      </c>
      <c r="E164" s="279"/>
      <c r="F164" s="279"/>
      <c r="G164" s="288"/>
      <c r="H164" s="279"/>
      <c r="I164" s="287"/>
    </row>
    <row r="166" spans="1:9" ht="15">
      <c r="A166" s="118" t="s">
        <v>266</v>
      </c>
      <c r="B166" s="174"/>
      <c r="C166" s="175"/>
      <c r="D166" s="176"/>
      <c r="E166" s="177"/>
      <c r="F166" s="177"/>
      <c r="G166" s="177"/>
      <c r="H166" s="177"/>
      <c r="I166" s="177"/>
    </row>
    <row r="167" spans="1:9" ht="13.5" thickBot="1">
      <c r="B167" s="174"/>
      <c r="C167" s="175"/>
      <c r="D167" s="176"/>
      <c r="E167" s="177"/>
      <c r="F167" s="177"/>
      <c r="G167" s="177"/>
      <c r="H167" s="177"/>
      <c r="I167" s="177"/>
    </row>
    <row r="168" spans="1:9">
      <c r="B168" s="121"/>
      <c r="C168" s="122"/>
      <c r="D168" s="274" t="s">
        <v>226</v>
      </c>
      <c r="E168" s="276" t="s">
        <v>227</v>
      </c>
      <c r="F168" s="276"/>
      <c r="G168" s="123" t="s">
        <v>228</v>
      </c>
      <c r="H168" s="276" t="s">
        <v>229</v>
      </c>
      <c r="I168" s="289"/>
    </row>
    <row r="169" spans="1:9">
      <c r="B169" s="124"/>
      <c r="C169" s="125"/>
      <c r="D169" s="275"/>
      <c r="E169" s="126">
        <v>0.25</v>
      </c>
      <c r="F169" s="127">
        <v>0.1</v>
      </c>
      <c r="G169" s="128"/>
      <c r="H169" s="127">
        <v>0.1</v>
      </c>
      <c r="I169" s="129">
        <v>0.25</v>
      </c>
    </row>
    <row r="170" spans="1:9">
      <c r="B170" s="124"/>
      <c r="C170" s="125"/>
      <c r="D170" s="130" t="str">
        <f>IF(Inputs!$C$12,Inputs!$C$11,"")</f>
        <v>Irr Corn</v>
      </c>
      <c r="E170" s="131">
        <f>IF(Inputs!$C$12,'Share Summary'!$B$77*0.75,"")</f>
        <v>82.5</v>
      </c>
      <c r="F170" s="131">
        <f>IF(Inputs!$C$12,'Share Summary'!$B$77*0.9,"")</f>
        <v>99</v>
      </c>
      <c r="G170" s="132">
        <f>IF(Inputs!$C$12,'Share Summary'!$B$77,"")</f>
        <v>110</v>
      </c>
      <c r="H170" s="131">
        <f>IF(Inputs!$C$12,'Share Summary'!$B$77*1.1,"")</f>
        <v>121.00000000000001</v>
      </c>
      <c r="I170" s="133">
        <f>IF(Inputs!$C$12,'Share Summary'!$B$77*1.25,"")</f>
        <v>137.5</v>
      </c>
    </row>
    <row r="171" spans="1:9">
      <c r="B171" s="124"/>
      <c r="C171" s="125"/>
      <c r="D171" s="130" t="str">
        <f>IF(Inputs!$D$12,Inputs!$D$11,"")</f>
        <v>Irr Soybeans</v>
      </c>
      <c r="E171" s="131">
        <f>IF(Inputs!$D$12,'Share Summary'!$C$77*0.75,"")</f>
        <v>22.5</v>
      </c>
      <c r="F171" s="131">
        <f>IF(Inputs!$D$12,'Share Summary'!$C$77*0.9,"")</f>
        <v>27</v>
      </c>
      <c r="G171" s="132">
        <f>IF(Inputs!$D$12,'Share Summary'!$C$77,"")</f>
        <v>30</v>
      </c>
      <c r="H171" s="131">
        <f>IF(Inputs!$D$12,'Share Summary'!$C$77*1.1,"")</f>
        <v>33</v>
      </c>
      <c r="I171" s="133">
        <f>IF(Inputs!$D$12,'Share Summary'!$C$77*1.25,"")</f>
        <v>37.5</v>
      </c>
    </row>
    <row r="172" spans="1:9">
      <c r="B172" s="124"/>
      <c r="C172" s="125"/>
      <c r="D172" s="130" t="str">
        <f>IF(Inputs!$E$12,Inputs!$E$11,"")</f>
        <v>Dry Corn</v>
      </c>
      <c r="E172" s="131">
        <f>IF(Inputs!$E$12,'Share Summary'!$D$77*0.75,"")</f>
        <v>52.5</v>
      </c>
      <c r="F172" s="131">
        <f>IF(Inputs!$E$12,'Share Summary'!$D$77*0.9,"")</f>
        <v>63</v>
      </c>
      <c r="G172" s="132">
        <f>IF(Inputs!$E$12,'Share Summary'!$D$77,"")</f>
        <v>70</v>
      </c>
      <c r="H172" s="131">
        <f>IF(Inputs!$E$12,'Share Summary'!$D$77*1.1,"")</f>
        <v>77</v>
      </c>
      <c r="I172" s="133">
        <f>IF(Inputs!$E$12,'Share Summary'!$D$77*1.25,"")</f>
        <v>87.5</v>
      </c>
    </row>
    <row r="173" spans="1:9">
      <c r="B173" s="280" t="s">
        <v>230</v>
      </c>
      <c r="C173" s="281"/>
      <c r="D173" s="134" t="str">
        <f>IF(Inputs!$F$12,Inputs!$F$11,"")</f>
        <v>Dry Soybeans</v>
      </c>
      <c r="E173" s="131">
        <f>IF(Inputs!$F$12,'Share Summary'!$E$77*0.75,"")</f>
        <v>16.875</v>
      </c>
      <c r="F173" s="131">
        <f>IF(Inputs!$F$12,'Share Summary'!$E$77*0.9,"")</f>
        <v>20.25</v>
      </c>
      <c r="G173" s="132">
        <f>IF(Inputs!$F$12,'Share Summary'!$E$77,"")</f>
        <v>22.5</v>
      </c>
      <c r="H173" s="131">
        <f>IF(Inputs!$F$12,'Share Summary'!$E$77*1.1,"")</f>
        <v>24.750000000000004</v>
      </c>
      <c r="I173" s="133">
        <f>IF(Inputs!$F$12,'Share Summary'!$E$77*1.25,"")</f>
        <v>28.125</v>
      </c>
    </row>
    <row r="174" spans="1:9">
      <c r="B174" s="135"/>
      <c r="C174" s="136" t="str">
        <f>IF(Inputs!$C$12,Inputs!$C$11,"")</f>
        <v>Irr Corn</v>
      </c>
      <c r="D174" s="137">
        <f>IF(Inputs!$C$12,Inputs!$C$18*0.75,"")</f>
        <v>4.125</v>
      </c>
      <c r="E174" s="294">
        <f>IF(Inputs!$J$12,(((SUMPRODUCT($D$174:$D$177,E355:E358,$F$349:$F$352)+SUM('Cash Summary'!$G$42:$G$43))+(E169*'Share Summary'!$G$95)+('Share Sensitivity'!E169*'Share Summary'!$G$95*(Inputs!$C$174*(Inputs!$C$175/12)))-SUM('Share Summary'!$G$250:$G$252))/Inputs!$J$13)-E145,"")</f>
        <v>182.74951953125</v>
      </c>
      <c r="F174" s="294">
        <f>IF(Inputs!$J$12,(((SUMPRODUCT($D$174:$D$177,F355:F358,$F$349:$F$352)+SUM('Cash Summary'!$G$42:$G$43))+(F169*'Share Summary'!$G$95)+('Share Sensitivity'!F169*'Share Summary'!$G$95*(Inputs!$C$174*(Inputs!$C$175/12)))-SUM('Share Summary'!$G$250:$G$252))/Inputs!$J$13)-F145,"")</f>
        <v>232.95703906249992</v>
      </c>
      <c r="G174" s="297">
        <f>IF(Inputs!$J$12,(((SUMPRODUCT($D$174:$D$177,G355:G358,$F$349:$F$352)+SUM('Cash Summary'!$G$42:$G$43))+(G169*'Share Summary'!$G$95)+('Share Sensitivity'!G169*'Share Summary'!$G$95*(Inputs!$C$174*(Inputs!$C$175/12)))-SUM('Share Summary'!$G$250:$G$252))/Inputs!$J$13)-G145,"")</f>
        <v>266.42871874999997</v>
      </c>
      <c r="H174" s="294">
        <f>IF(Inputs!$J$12,(((SUMPRODUCT($D$174:$D$177,H355:H358,$F$349:$F$352)+SUM('Cash Summary'!$G$42:$G$43))-(H169*'Share Summary'!$G$95)-('Share Sensitivity'!H169*'Share Summary'!$G$95*(Inputs!$C$174*(Inputs!$C$175/12)))-SUM('Share Summary'!$G$250:$G$252))/Inputs!$J$13)-H145,"")</f>
        <v>299.90039843750003</v>
      </c>
      <c r="I174" s="294">
        <f>IF(Inputs!$J$12,(((SUMPRODUCT($D$174:$D$177,I355:I358,$F$349:$F$352)+SUM('Cash Summary'!$G$42:$G$43))-(I169*'Share Summary'!$G$95)-('Share Sensitivity'!I169*'Share Summary'!$G$95*(Inputs!$C$174*(Inputs!$C$175/12)))-SUM('Share Summary'!$G$250:$G$252))/Inputs!$J$13)-I145,"")</f>
        <v>350.10791796874997</v>
      </c>
    </row>
    <row r="175" spans="1:9">
      <c r="B175" s="138">
        <v>0.25</v>
      </c>
      <c r="C175" s="139" t="str">
        <f>IF(Inputs!$D$12,Inputs!$D$11,"")</f>
        <v>Irr Soybeans</v>
      </c>
      <c r="D175" s="137">
        <f>IF(Inputs!$D$12,Inputs!$D$18*0.75,"")</f>
        <v>8.625</v>
      </c>
      <c r="E175" s="295"/>
      <c r="F175" s="295"/>
      <c r="G175" s="298"/>
      <c r="H175" s="295"/>
      <c r="I175" s="295"/>
    </row>
    <row r="176" spans="1:9">
      <c r="B176" s="138" t="s">
        <v>227</v>
      </c>
      <c r="C176" s="139" t="str">
        <f>IF(Inputs!$E$12,Inputs!$E$11,"")</f>
        <v>Dry Corn</v>
      </c>
      <c r="D176" s="137">
        <f>IF(Inputs!$E$12,Inputs!$E$18*0.75,"")</f>
        <v>4.125</v>
      </c>
      <c r="E176" s="295"/>
      <c r="F176" s="295"/>
      <c r="G176" s="298"/>
      <c r="H176" s="295"/>
      <c r="I176" s="295"/>
    </row>
    <row r="177" spans="2:9">
      <c r="B177" s="140"/>
      <c r="C177" s="141" t="str">
        <f>IF(Inputs!$F$12,Inputs!$F$11,"")</f>
        <v>Dry Soybeans</v>
      </c>
      <c r="D177" s="142">
        <f>IF(Inputs!$F$12,Inputs!$F$18*0.75,"")</f>
        <v>8.625</v>
      </c>
      <c r="E177" s="296"/>
      <c r="F177" s="296"/>
      <c r="G177" s="299"/>
      <c r="H177" s="296"/>
      <c r="I177" s="296"/>
    </row>
    <row r="178" spans="2:9">
      <c r="B178" s="143"/>
      <c r="C178" s="139" t="str">
        <f>IF(Inputs!$C$12,Inputs!$C$11,"")</f>
        <v>Irr Corn</v>
      </c>
      <c r="D178" s="137">
        <f>IF(Inputs!$C$12,Inputs!$C$18*0.9,"")</f>
        <v>4.95</v>
      </c>
      <c r="E178" s="294">
        <f>IF(Inputs!$J$12,(((SUMPRODUCT($D$178:$D$181,E355:E358,$F$349:$F$352)+SUM('Cash Summary'!$G$42:$G$43))+(E169*'Share Summary'!$G$95)+('Share Sensitivity'!E169*'Share Summary'!$G$95*(Inputs!$C$174*(Inputs!$C$175/12)))-SUM('Share Summary'!$G$250:$G$252))/Inputs!$J$13)-E149,"")</f>
        <v>232.95703906249997</v>
      </c>
      <c r="F178" s="294">
        <f>IF(Inputs!$J$12,(((SUMPRODUCT($D$178:$D$181,F355:F358,$F$349:$F$352)+SUM('Cash Summary'!$G$42:$G$43))+(F169*'Share Summary'!$G$95)+('Share Sensitivity'!F169*'Share Summary'!$G$95*(Inputs!$C$174*(Inputs!$C$175/12)))-SUM('Share Summary'!$G$250:$G$252))/Inputs!$J$13)-F149,"")</f>
        <v>293.20606249999992</v>
      </c>
      <c r="G178" s="297">
        <f>IF(Inputs!$J$12,(((SUMPRODUCT($D$178:$D$181,G355:G358,$F$349:$F$352)+SUM('Cash Summary'!$G$42:$G$43))+(G169*'Share Summary'!$G$95)+('Share Sensitivity'!G169*'Share Summary'!$G$95*(Inputs!$C$174*(Inputs!$C$175/12)))-SUM('Share Summary'!$G$250:$G$252))/Inputs!$J$13)-G149,"")</f>
        <v>333.37207812499992</v>
      </c>
      <c r="H178" s="294">
        <f>IF(Inputs!$J$12,(((SUMPRODUCT($D$178:$D$181,H355:H358,$F$349:$F$352)+SUM('Cash Summary'!$G$42:$G$43))-(H169*'Share Summary'!$G$95)-('Share Sensitivity'!H169*'Share Summary'!$G$95*(Inputs!$C$174*(Inputs!$C$175/12)))-SUM('Share Summary'!$G$250:$G$252))/Inputs!$J$13)-H149,"")</f>
        <v>373.5380937499998</v>
      </c>
      <c r="I178" s="294">
        <f>IF(Inputs!$J$12,(((SUMPRODUCT($D$178:$D$181,I355:I358,$F$349:$F$352)+SUM('Cash Summary'!$G$42:$G$43))-(I169*'Share Summary'!$G$95)-('Share Sensitivity'!I169*'Share Summary'!$G$95*(Inputs!$C$174*(Inputs!$C$175/12)))-SUM('Share Summary'!$G$250:$G$252))/Inputs!$J$13)-I149,"")</f>
        <v>433.78711718749992</v>
      </c>
    </row>
    <row r="179" spans="2:9">
      <c r="B179" s="138">
        <v>0.1</v>
      </c>
      <c r="C179" s="139" t="str">
        <f>IF(Inputs!$D$12,Inputs!$D$11,"")</f>
        <v>Irr Soybeans</v>
      </c>
      <c r="D179" s="137">
        <f>IF(Inputs!$D$12,Inputs!$D$18*0.9,"")</f>
        <v>10.35</v>
      </c>
      <c r="E179" s="295"/>
      <c r="F179" s="295"/>
      <c r="G179" s="298"/>
      <c r="H179" s="295"/>
      <c r="I179" s="295"/>
    </row>
    <row r="180" spans="2:9">
      <c r="B180" s="138" t="s">
        <v>227</v>
      </c>
      <c r="C180" s="139" t="str">
        <f>IF(Inputs!$E$12,Inputs!$E$11,"")</f>
        <v>Dry Corn</v>
      </c>
      <c r="D180" s="137">
        <f>IF(Inputs!$E$12,Inputs!$E$18*0.9,"")</f>
        <v>4.95</v>
      </c>
      <c r="E180" s="295"/>
      <c r="F180" s="295"/>
      <c r="G180" s="298"/>
      <c r="H180" s="295"/>
      <c r="I180" s="295"/>
    </row>
    <row r="181" spans="2:9">
      <c r="B181" s="140"/>
      <c r="C181" s="141" t="str">
        <f>IF(Inputs!$F$12,Inputs!$F$11,"")</f>
        <v>Dry Soybeans</v>
      </c>
      <c r="D181" s="142">
        <f>IF(Inputs!$F$12,Inputs!$F$18*0.9,"")</f>
        <v>10.35</v>
      </c>
      <c r="E181" s="296"/>
      <c r="F181" s="296"/>
      <c r="G181" s="299"/>
      <c r="H181" s="296"/>
      <c r="I181" s="296"/>
    </row>
    <row r="182" spans="2:9">
      <c r="B182" s="144"/>
      <c r="C182" s="145" t="str">
        <f>IF(Inputs!$C$12,Inputs!$C$11,"")</f>
        <v>Irr Corn</v>
      </c>
      <c r="D182" s="146">
        <f>IF(Inputs!$C$12,Inputs!$C$18,"")</f>
        <v>5.5</v>
      </c>
      <c r="E182" s="297">
        <f>IF(Inputs!$J$12,(((SUMPRODUCT($D$182:$D$185,E355:E358,$F$349:$F$352)+SUM('Cash Summary'!$G$42:$G$43))+($E$169*'Share Summary'!$G$95)+('Share Sensitivity'!$E$169*'Share Summary'!$G$95*(Inputs!$C$174*(Inputs!$C$175/12)))-SUM('Share Summary'!$G$250:$G$252))/Inputs!$J$13)-E153,"")</f>
        <v>266.42871874999997</v>
      </c>
      <c r="F182" s="297">
        <f>IF(Inputs!$J$12,(((SUMPRODUCT($D$182:$D$185,F355:F358,$F$349:$F$352)+SUM('Cash Summary'!$G$42:$G$43))+(F169*'Share Summary'!$G$95)+('Share Sensitivity'!F169*'Share Summary'!$G$95*(Inputs!$C$174*(Inputs!$C$175/12)))-SUM('Share Summary'!$G$250:$G$252))/Inputs!$J$13)-F153,"")</f>
        <v>333.37207812499997</v>
      </c>
      <c r="G182" s="297">
        <f>IF(Inputs!$J$12,(((SUMPRODUCT($D$182:$D$185,G355:G358,$F$349:$F$352)+SUM('Cash Summary'!$G$42:$G$43))+(G169*'Share Summary'!$G$95)+('Share Sensitivity'!G169*'Share Summary'!$G$95*(Inputs!$C$174*(Inputs!$C$175/12)))-SUM('Share Summary'!$G$250:$G$252))/Inputs!$J$13)-G153,"")</f>
        <v>378.00098437499997</v>
      </c>
      <c r="H182" s="297">
        <f>IF(Inputs!$J$12,(((SUMPRODUCT($D$182:$D$185,H355:H358,$F$349:$F$352)+SUM('Cash Summary'!$G$42:$G$43))-(H169*'Share Summary'!$G$95)-('Share Sensitivity'!H169*'Share Summary'!$G$95*(Inputs!$C$174*(Inputs!$C$175/12)))-SUM('Share Summary'!$G$250:$G$252))/Inputs!$J$13)-H153,"")</f>
        <v>422.6298906249998</v>
      </c>
      <c r="I182" s="297">
        <f>IF(Inputs!$J$12,(((SUMPRODUCT($D$182:$D$185,I355:I358,$F$349:$F$352)+SUM('Cash Summary'!$G$42:$G$43))-(I169*'Share Summary'!$G$95)-('Share Sensitivity'!I169*'Share Summary'!$G$95*(Inputs!$C$174*(Inputs!$C$175/12)))-SUM('Share Summary'!$G$250:$G$252))/Inputs!$J$13)-I153,"")</f>
        <v>489.57324999999992</v>
      </c>
    </row>
    <row r="183" spans="2:9">
      <c r="B183" s="284" t="s">
        <v>228</v>
      </c>
      <c r="C183" s="145" t="str">
        <f>IF(Inputs!$D$12,Inputs!$D$11,"")</f>
        <v>Irr Soybeans</v>
      </c>
      <c r="D183" s="146">
        <f>IF(Inputs!$D$12,Inputs!$D$18,"")</f>
        <v>11.5</v>
      </c>
      <c r="E183" s="298"/>
      <c r="F183" s="298"/>
      <c r="G183" s="298"/>
      <c r="H183" s="298"/>
      <c r="I183" s="298"/>
    </row>
    <row r="184" spans="2:9">
      <c r="B184" s="284"/>
      <c r="C184" s="145" t="str">
        <f>IF(Inputs!$E$12,Inputs!$E$11,"")</f>
        <v>Dry Corn</v>
      </c>
      <c r="D184" s="146">
        <f>IF(Inputs!$E$12,Inputs!$E$18,"")</f>
        <v>5.5</v>
      </c>
      <c r="E184" s="298"/>
      <c r="F184" s="298"/>
      <c r="G184" s="298"/>
      <c r="H184" s="298"/>
      <c r="I184" s="298"/>
    </row>
    <row r="185" spans="2:9">
      <c r="B185" s="148"/>
      <c r="C185" s="149" t="str">
        <f>IF(Inputs!$F$12,Inputs!$F$11,"")</f>
        <v>Dry Soybeans</v>
      </c>
      <c r="D185" s="150">
        <f>IF(Inputs!$F$12,Inputs!$F$18,"")</f>
        <v>11.5</v>
      </c>
      <c r="E185" s="299"/>
      <c r="F185" s="299"/>
      <c r="G185" s="299"/>
      <c r="H185" s="299"/>
      <c r="I185" s="299"/>
    </row>
    <row r="186" spans="2:9">
      <c r="B186" s="143"/>
      <c r="C186" s="139" t="str">
        <f>IF(Inputs!$C$12,Inputs!$C$11,"")</f>
        <v>Irr Corn</v>
      </c>
      <c r="D186" s="137">
        <f>IF(Inputs!$C$12,Inputs!$C$18*1.1,"")</f>
        <v>6.0500000000000007</v>
      </c>
      <c r="E186" s="294">
        <f>IF(Inputs!$J$12,(((SUMPRODUCT($D$186:$D$189,E355:E358,$F$349:$F$352)+SUM('Cash Summary'!$G$42:$G$43))+(E169*'Share Summary'!$G$95)+('Share Sensitivity'!E169*'Share Summary'!$G$95*(Inputs!$C$174*(Inputs!$C$175/12)))-SUM('Share Summary'!$G$250:$G$252))/Inputs!$J$13)-E157,"")</f>
        <v>299.90039843750003</v>
      </c>
      <c r="F186" s="294">
        <f>IF(Inputs!$J$12,(((SUMPRODUCT($D$186:$D$189,F355:F358,$F$349:$F$352)+SUM('Cash Summary'!$G$42:$G$43))+(F169*'Share Summary'!$G$95)+('Share Sensitivity'!F169*'Share Summary'!$G$95*(Inputs!$C$174*(Inputs!$C$175/12)))-SUM('Share Summary'!$G$250:$G$252))/Inputs!$J$13)-F157,"")</f>
        <v>373.53809374999997</v>
      </c>
      <c r="G186" s="297">
        <f>IF(Inputs!$J$12,(((SUMPRODUCT($D$186:$D$189,G355:G358,$F$349:$F$352)+SUM('Cash Summary'!$G$42:$G$43))+(G169*'Share Summary'!$G$95)+('Share Sensitivity'!G169*'Share Summary'!$G$95*(Inputs!$C$174*(Inputs!$C$175/12)))-SUM('Share Summary'!$G$250:$G$252))/Inputs!$J$13)-G157,"")</f>
        <v>422.62989062499997</v>
      </c>
      <c r="H186" s="294">
        <f>IF(Inputs!$J$12,(((SUMPRODUCT($D$186:$D$189,H355:H358,$F$349:$F$352)+SUM('Cash Summary'!$G$42:$G$43))-(H169*'Share Summary'!$G$95)-('Share Sensitivity'!H169*'Share Summary'!$G$95*(Inputs!$C$174*(Inputs!$C$175/12)))-SUM('Share Summary'!$G$250:$G$252))/Inputs!$J$13)-H157,"")</f>
        <v>471.72168749999997</v>
      </c>
      <c r="I186" s="294">
        <f>IF(Inputs!$J$12,(((SUMPRODUCT($D$186:$D$189,I355:I358,$F$349:$F$352)+SUM('Cash Summary'!$G$42:$G$43))-(I169*'Share Summary'!$G$95)-('Share Sensitivity'!I169*'Share Summary'!$G$95*(Inputs!$C$174*(Inputs!$C$175/12)))-SUM('Share Summary'!$G$250:$G$252))/Inputs!$J$13)-I157,"")</f>
        <v>545.35938281249992</v>
      </c>
    </row>
    <row r="187" spans="2:9">
      <c r="B187" s="138">
        <v>0.1</v>
      </c>
      <c r="C187" s="139" t="str">
        <f>IF(Inputs!$D$12,Inputs!$D$11,"")</f>
        <v>Irr Soybeans</v>
      </c>
      <c r="D187" s="137">
        <f>IF(Inputs!$D$12,Inputs!$D$18*1.1,"")</f>
        <v>12.65</v>
      </c>
      <c r="E187" s="295"/>
      <c r="F187" s="295"/>
      <c r="G187" s="298"/>
      <c r="H187" s="295"/>
      <c r="I187" s="295"/>
    </row>
    <row r="188" spans="2:9">
      <c r="B188" s="138" t="s">
        <v>229</v>
      </c>
      <c r="C188" s="139" t="str">
        <f>IF(Inputs!$E$12,Inputs!$E$11,"")</f>
        <v>Dry Corn</v>
      </c>
      <c r="D188" s="137">
        <f>IF(Inputs!$E$12,Inputs!$E$18*1.1,"")</f>
        <v>6.0500000000000007</v>
      </c>
      <c r="E188" s="295"/>
      <c r="F188" s="295"/>
      <c r="G188" s="298"/>
      <c r="H188" s="295"/>
      <c r="I188" s="295"/>
    </row>
    <row r="189" spans="2:9">
      <c r="B189" s="140"/>
      <c r="C189" s="141" t="str">
        <f>IF(Inputs!$F$12,Inputs!$F$11,"")</f>
        <v>Dry Soybeans</v>
      </c>
      <c r="D189" s="142">
        <f>IF(Inputs!$F$12,Inputs!$F$18*1.1,"")</f>
        <v>12.65</v>
      </c>
      <c r="E189" s="296"/>
      <c r="F189" s="296"/>
      <c r="G189" s="299"/>
      <c r="H189" s="296"/>
      <c r="I189" s="296"/>
    </row>
    <row r="190" spans="2:9">
      <c r="B190" s="143"/>
      <c r="C190" s="139" t="str">
        <f>IF(Inputs!$C$12,Inputs!$C$11,"")</f>
        <v>Irr Corn</v>
      </c>
      <c r="D190" s="137">
        <f>IF(Inputs!$C$12,Inputs!$C$18*1.25,"")</f>
        <v>6.875</v>
      </c>
      <c r="E190" s="294">
        <f>IF(Inputs!$J$12,(((SUMPRODUCT($D$190:$D$193,E355:E358,$F$349:$F$352)+SUM('Cash Summary'!$G$42:$G$43))+(E169*'Share Summary'!$G$95)+('Share Sensitivity'!E169*'Share Summary'!$G$95*(Inputs!$C$174*(Inputs!$C$175/12)))-SUM('Share Summary'!$G$250:$G$252))/Inputs!$J$13)-E161,"")</f>
        <v>350.10791796874986</v>
      </c>
      <c r="F190" s="294">
        <f>IF(Inputs!$J$12,(((SUMPRODUCT($D$190:$D$193,F355:F358,$F$349:$F$352)+SUM('Cash Summary'!$G$42:$G$43))+(F169*'Share Summary'!$G$95)+('Share Sensitivity'!F169*'Share Summary'!$G$95*(Inputs!$C$174*(Inputs!$C$175/12)))-SUM('Share Summary'!$G$250:$G$252))/Inputs!$J$13)-F161,"")</f>
        <v>433.78711718749997</v>
      </c>
      <c r="G190" s="297">
        <f>IF(Inputs!$J$12,(((SUMPRODUCT($D$190:$D$193,G355:G358,$F$349:$F$352)+SUM('Cash Summary'!$G$42:$G$43))+(G169*'Share Summary'!$G$95)+('Share Sensitivity'!G169*'Share Summary'!$G$95*(Inputs!$C$174*(Inputs!$C$175/12)))-SUM('Share Summary'!$G$250:$G$252))/Inputs!$J$13)-G161,"")</f>
        <v>489.57324999999997</v>
      </c>
      <c r="H190" s="294">
        <f>IF(Inputs!$J$12,(((SUMPRODUCT($D$190:$D$193,H355:H358,$F$349:$F$352)+SUM('Cash Summary'!$G$42:$G$43))-(H169*'Share Summary'!$G$95)-('Share Sensitivity'!H169*'Share Summary'!$G$95*(Inputs!$C$174*(Inputs!$C$175/12)))-SUM('Share Summary'!$G$250:$G$252))/Inputs!$J$13)-H161,"")</f>
        <v>545.3593828124998</v>
      </c>
      <c r="I190" s="294">
        <f>IF(Inputs!$J$12,(((SUMPRODUCT($D$190:$D$193,I355:I358,$F$349:$F$352)+SUM('Cash Summary'!$G$42:$G$43))-(I169*'Share Summary'!$G$95)-('Share Sensitivity'!I169*'Share Summary'!$G$95*(Inputs!$C$174*(Inputs!$C$175/12)))-SUM('Share Summary'!$G$250:$G$252))/Inputs!$J$13)-I161,"")</f>
        <v>629.03858203125014</v>
      </c>
    </row>
    <row r="191" spans="2:9">
      <c r="B191" s="138">
        <v>0.25</v>
      </c>
      <c r="C191" s="139" t="str">
        <f>IF(Inputs!$D$12,Inputs!$D$11,"")</f>
        <v>Irr Soybeans</v>
      </c>
      <c r="D191" s="137">
        <f>IF(Inputs!$D$12,Inputs!$D$18*1.25,"")</f>
        <v>14.375</v>
      </c>
      <c r="E191" s="295"/>
      <c r="F191" s="295"/>
      <c r="G191" s="298"/>
      <c r="H191" s="295"/>
      <c r="I191" s="295"/>
    </row>
    <row r="192" spans="2:9">
      <c r="B192" s="138" t="s">
        <v>229</v>
      </c>
      <c r="C192" s="139" t="str">
        <f>IF(Inputs!$E$12,Inputs!$E$11,"")</f>
        <v>Dry Corn</v>
      </c>
      <c r="D192" s="137">
        <f>IF(Inputs!$E$12,Inputs!$E$18*1.25,"")</f>
        <v>6.875</v>
      </c>
      <c r="E192" s="295"/>
      <c r="F192" s="295"/>
      <c r="G192" s="298"/>
      <c r="H192" s="295"/>
      <c r="I192" s="295"/>
    </row>
    <row r="193" spans="2:9" ht="13.5" thickBot="1">
      <c r="B193" s="151"/>
      <c r="C193" s="152" t="str">
        <f>IF(Inputs!$F$12,Inputs!$F$11,"")</f>
        <v>Dry Soybeans</v>
      </c>
      <c r="D193" s="158">
        <f>IF(Inputs!$F$12,Inputs!$F$18*1.25,"")</f>
        <v>14.375</v>
      </c>
      <c r="E193" s="296"/>
      <c r="F193" s="296"/>
      <c r="G193" s="299"/>
      <c r="H193" s="296"/>
      <c r="I193" s="296"/>
    </row>
    <row r="348" spans="5:6">
      <c r="E348" s="53" t="s">
        <v>232</v>
      </c>
      <c r="F348" s="53" t="s">
        <v>233</v>
      </c>
    </row>
    <row r="349" spans="5:6">
      <c r="E349" t="str">
        <f>Inputs!C11</f>
        <v>Irr Corn</v>
      </c>
      <c r="F349">
        <f>Inputs!C12</f>
        <v>65</v>
      </c>
    </row>
    <row r="350" spans="5:6">
      <c r="E350" t="str">
        <f>Inputs!D11</f>
        <v>Irr Soybeans</v>
      </c>
      <c r="F350">
        <f>Inputs!D12</f>
        <v>65</v>
      </c>
    </row>
    <row r="351" spans="5:6">
      <c r="E351" t="str">
        <f>Inputs!E11</f>
        <v>Dry Corn</v>
      </c>
      <c r="F351">
        <f>Inputs!E12</f>
        <v>15</v>
      </c>
    </row>
    <row r="352" spans="5:6">
      <c r="E352" t="str">
        <f>Inputs!F11</f>
        <v>Dry Soybeans</v>
      </c>
      <c r="F352">
        <f>Inputs!F12</f>
        <v>15</v>
      </c>
    </row>
    <row r="353" spans="5:9">
      <c r="G353" s="33" t="s">
        <v>336</v>
      </c>
    </row>
    <row r="354" spans="5:9">
      <c r="E354" s="234" t="s">
        <v>335</v>
      </c>
      <c r="F354" s="234" t="s">
        <v>334</v>
      </c>
      <c r="G354" t="s">
        <v>331</v>
      </c>
      <c r="H354" s="234" t="s">
        <v>333</v>
      </c>
      <c r="I354" s="234" t="s">
        <v>332</v>
      </c>
    </row>
    <row r="355" spans="5:9">
      <c r="E355">
        <f>G355*0.75</f>
        <v>165</v>
      </c>
      <c r="F355">
        <f>G355*0.9</f>
        <v>198</v>
      </c>
      <c r="G355" s="233">
        <f>Inputs!C17</f>
        <v>220</v>
      </c>
      <c r="H355">
        <f>G355*1.1</f>
        <v>242.00000000000003</v>
      </c>
      <c r="I355">
        <f>G355*1.25</f>
        <v>275</v>
      </c>
    </row>
    <row r="356" spans="5:9">
      <c r="E356">
        <f>G356*0.75</f>
        <v>45</v>
      </c>
      <c r="F356">
        <f>G356*0.9</f>
        <v>54</v>
      </c>
      <c r="G356" s="233">
        <f>Inputs!D17</f>
        <v>60</v>
      </c>
      <c r="H356">
        <f>G356*1.1</f>
        <v>66</v>
      </c>
      <c r="I356">
        <f>G356*1.25</f>
        <v>75</v>
      </c>
    </row>
    <row r="357" spans="5:9">
      <c r="E357">
        <f>G357*0.75</f>
        <v>105</v>
      </c>
      <c r="F357">
        <f>G357*0.9</f>
        <v>126</v>
      </c>
      <c r="G357" s="233">
        <f>Inputs!E17</f>
        <v>140</v>
      </c>
      <c r="H357">
        <f>G357*1.1</f>
        <v>154</v>
      </c>
      <c r="I357">
        <f>G357*1.25</f>
        <v>175</v>
      </c>
    </row>
    <row r="358" spans="5:9">
      <c r="E358">
        <f>G358*0.75</f>
        <v>33.75</v>
      </c>
      <c r="F358">
        <f>G358*0.9</f>
        <v>40.5</v>
      </c>
      <c r="G358" s="233">
        <f>Inputs!F17</f>
        <v>45</v>
      </c>
      <c r="H358">
        <f>G358*1.1</f>
        <v>49.500000000000007</v>
      </c>
      <c r="I358">
        <f>G358*1.25</f>
        <v>56.25</v>
      </c>
    </row>
  </sheetData>
  <sheetProtection password="C1B5" sheet="1" objects="1" scenarios="1"/>
  <mergeCells count="180">
    <mergeCell ref="I31:I34"/>
    <mergeCell ref="E31:E34"/>
    <mergeCell ref="F31:F34"/>
    <mergeCell ref="G31:G34"/>
    <mergeCell ref="H31:H34"/>
    <mergeCell ref="I23:I26"/>
    <mergeCell ref="B24:B25"/>
    <mergeCell ref="E27:E30"/>
    <mergeCell ref="F27:F30"/>
    <mergeCell ref="G27:G30"/>
    <mergeCell ref="H27:H30"/>
    <mergeCell ref="I27:I30"/>
    <mergeCell ref="E23:E26"/>
    <mergeCell ref="F23:F26"/>
    <mergeCell ref="G23:G26"/>
    <mergeCell ref="H23:H26"/>
    <mergeCell ref="I15:I18"/>
    <mergeCell ref="E19:E22"/>
    <mergeCell ref="F19:F22"/>
    <mergeCell ref="G19:G22"/>
    <mergeCell ref="H19:H22"/>
    <mergeCell ref="I19:I22"/>
    <mergeCell ref="E15:E18"/>
    <mergeCell ref="F15:F18"/>
    <mergeCell ref="G15:G18"/>
    <mergeCell ref="H15:H18"/>
    <mergeCell ref="D9:D10"/>
    <mergeCell ref="E9:F9"/>
    <mergeCell ref="H9:I9"/>
    <mergeCell ref="B14:C14"/>
    <mergeCell ref="H57:H60"/>
    <mergeCell ref="I57:I60"/>
    <mergeCell ref="I49:I52"/>
    <mergeCell ref="F53:F56"/>
    <mergeCell ref="G53:G56"/>
    <mergeCell ref="H53:H56"/>
    <mergeCell ref="E61:E64"/>
    <mergeCell ref="F61:F64"/>
    <mergeCell ref="G61:G64"/>
    <mergeCell ref="H61:H64"/>
    <mergeCell ref="I61:I64"/>
    <mergeCell ref="B54:B55"/>
    <mergeCell ref="E57:E60"/>
    <mergeCell ref="F57:F60"/>
    <mergeCell ref="G57:G60"/>
    <mergeCell ref="E53:E56"/>
    <mergeCell ref="I53:I56"/>
    <mergeCell ref="B44:C44"/>
    <mergeCell ref="E45:E48"/>
    <mergeCell ref="F45:F48"/>
    <mergeCell ref="G45:G48"/>
    <mergeCell ref="I161:I164"/>
    <mergeCell ref="E161:E164"/>
    <mergeCell ref="F161:F164"/>
    <mergeCell ref="G161:G164"/>
    <mergeCell ref="H161:H164"/>
    <mergeCell ref="D39:D40"/>
    <mergeCell ref="E39:F39"/>
    <mergeCell ref="H39:I39"/>
    <mergeCell ref="H45:H48"/>
    <mergeCell ref="I45:I48"/>
    <mergeCell ref="E49:E52"/>
    <mergeCell ref="F49:F52"/>
    <mergeCell ref="G49:G52"/>
    <mergeCell ref="H49:H52"/>
    <mergeCell ref="H157:H160"/>
    <mergeCell ref="I157:I160"/>
    <mergeCell ref="E153:E156"/>
    <mergeCell ref="F153:F156"/>
    <mergeCell ref="G153:G156"/>
    <mergeCell ref="H153:H156"/>
    <mergeCell ref="I153:I156"/>
    <mergeCell ref="B154:B155"/>
    <mergeCell ref="E157:E160"/>
    <mergeCell ref="F157:F160"/>
    <mergeCell ref="G157:G160"/>
    <mergeCell ref="H145:H148"/>
    <mergeCell ref="I145:I148"/>
    <mergeCell ref="E149:E152"/>
    <mergeCell ref="F149:F152"/>
    <mergeCell ref="G149:G152"/>
    <mergeCell ref="H149:H152"/>
    <mergeCell ref="I149:I152"/>
    <mergeCell ref="B144:C144"/>
    <mergeCell ref="E145:E148"/>
    <mergeCell ref="F145:F148"/>
    <mergeCell ref="G145:G148"/>
    <mergeCell ref="I131:I134"/>
    <mergeCell ref="D139:D140"/>
    <mergeCell ref="E139:F139"/>
    <mergeCell ref="H139:I139"/>
    <mergeCell ref="E131:E134"/>
    <mergeCell ref="B124:B125"/>
    <mergeCell ref="E127:E130"/>
    <mergeCell ref="F127:F130"/>
    <mergeCell ref="G127:G130"/>
    <mergeCell ref="H127:H130"/>
    <mergeCell ref="I127:I130"/>
    <mergeCell ref="H119:H122"/>
    <mergeCell ref="E119:E122"/>
    <mergeCell ref="F131:F134"/>
    <mergeCell ref="G131:G134"/>
    <mergeCell ref="H131:H134"/>
    <mergeCell ref="I123:I126"/>
    <mergeCell ref="B73:C73"/>
    <mergeCell ref="B114:C114"/>
    <mergeCell ref="H115:H118"/>
    <mergeCell ref="D109:D110"/>
    <mergeCell ref="E109:F109"/>
    <mergeCell ref="H109:I109"/>
    <mergeCell ref="I115:I118"/>
    <mergeCell ref="E115:E118"/>
    <mergeCell ref="F115:F118"/>
    <mergeCell ref="G74:G77"/>
    <mergeCell ref="D68:D69"/>
    <mergeCell ref="E68:F68"/>
    <mergeCell ref="H68:I68"/>
    <mergeCell ref="H82:H85"/>
    <mergeCell ref="I74:I77"/>
    <mergeCell ref="E78:E81"/>
    <mergeCell ref="F78:F81"/>
    <mergeCell ref="G78:G81"/>
    <mergeCell ref="E74:E77"/>
    <mergeCell ref="F74:F77"/>
    <mergeCell ref="I82:I85"/>
    <mergeCell ref="G115:G118"/>
    <mergeCell ref="H74:H77"/>
    <mergeCell ref="I86:I89"/>
    <mergeCell ref="E82:E85"/>
    <mergeCell ref="F82:F85"/>
    <mergeCell ref="G82:G85"/>
    <mergeCell ref="H78:H81"/>
    <mergeCell ref="I78:I81"/>
    <mergeCell ref="H86:H89"/>
    <mergeCell ref="I174:I177"/>
    <mergeCell ref="I90:I93"/>
    <mergeCell ref="D168:D169"/>
    <mergeCell ref="E168:F168"/>
    <mergeCell ref="H168:I168"/>
    <mergeCell ref="I119:I122"/>
    <mergeCell ref="E123:E126"/>
    <mergeCell ref="F123:F126"/>
    <mergeCell ref="G123:G126"/>
    <mergeCell ref="G119:G122"/>
    <mergeCell ref="B183:B184"/>
    <mergeCell ref="B173:C173"/>
    <mergeCell ref="E174:E177"/>
    <mergeCell ref="F174:F177"/>
    <mergeCell ref="G174:G177"/>
    <mergeCell ref="B83:B84"/>
    <mergeCell ref="E86:E89"/>
    <mergeCell ref="F86:F89"/>
    <mergeCell ref="G86:G89"/>
    <mergeCell ref="F119:F122"/>
    <mergeCell ref="I182:I185"/>
    <mergeCell ref="E178:E181"/>
    <mergeCell ref="F178:F181"/>
    <mergeCell ref="G178:G181"/>
    <mergeCell ref="H178:H181"/>
    <mergeCell ref="E90:E93"/>
    <mergeCell ref="F90:F93"/>
    <mergeCell ref="G90:G93"/>
    <mergeCell ref="H90:H93"/>
    <mergeCell ref="H123:H126"/>
    <mergeCell ref="H186:H189"/>
    <mergeCell ref="H174:H177"/>
    <mergeCell ref="E182:E185"/>
    <mergeCell ref="F182:F185"/>
    <mergeCell ref="G182:G185"/>
    <mergeCell ref="H182:H185"/>
    <mergeCell ref="I186:I189"/>
    <mergeCell ref="I178:I181"/>
    <mergeCell ref="I190:I193"/>
    <mergeCell ref="E190:E193"/>
    <mergeCell ref="F190:F193"/>
    <mergeCell ref="G190:G193"/>
    <mergeCell ref="H190:H193"/>
    <mergeCell ref="E186:E189"/>
    <mergeCell ref="F186:F189"/>
    <mergeCell ref="G186:G189"/>
  </mergeCells>
  <phoneticPr fontId="0" type="noConversion"/>
  <pageMargins left="1" right="0.75" top="1" bottom="1" header="0.5" footer="0.5"/>
  <pageSetup orientation="landscape" horizontalDpi="300" verticalDpi="300" r:id="rId1"/>
  <headerFooter alignWithMargins="0"/>
  <rowBreaks count="5" manualBreakCount="5">
    <brk id="34" max="9" man="1"/>
    <brk id="64" max="9" man="1"/>
    <brk id="99" max="9" man="1"/>
    <brk id="134" max="9" man="1"/>
    <brk id="164" max="9" man="1"/>
  </rowBreaks>
  <legacyDrawing r:id="rId2"/>
</worksheet>
</file>

<file path=xl/worksheets/sheet8.xml><?xml version="1.0" encoding="utf-8"?>
<worksheet xmlns="http://schemas.openxmlformats.org/spreadsheetml/2006/main" xmlns:r="http://schemas.openxmlformats.org/officeDocument/2006/relationships">
  <sheetPr codeName="Sheet5"/>
  <dimension ref="A1:L93"/>
  <sheetViews>
    <sheetView topLeftCell="A10" zoomScaleNormal="100" workbookViewId="0">
      <selection activeCell="M24" sqref="M24"/>
    </sheetView>
  </sheetViews>
  <sheetFormatPr defaultRowHeight="12.75"/>
  <cols>
    <col min="1" max="1" width="11.42578125" style="1" customWidth="1"/>
    <col min="2" max="16384" width="9.140625" style="1"/>
  </cols>
  <sheetData>
    <row r="1" spans="1:12">
      <c r="D1" s="315" t="s">
        <v>340</v>
      </c>
      <c r="E1" s="315"/>
      <c r="F1" s="315"/>
      <c r="G1" s="316"/>
      <c r="H1" s="5"/>
      <c r="I1" s="5"/>
      <c r="J1" s="5"/>
      <c r="K1" s="5"/>
    </row>
    <row r="2" spans="1:12">
      <c r="D2" s="315"/>
      <c r="E2" s="315"/>
      <c r="F2" s="315"/>
      <c r="G2" s="316"/>
      <c r="H2" s="5"/>
      <c r="I2" s="5"/>
      <c r="J2" s="5"/>
      <c r="K2" s="5"/>
    </row>
    <row r="3" spans="1:12">
      <c r="D3" s="315"/>
      <c r="E3" s="315"/>
      <c r="F3" s="315"/>
      <c r="G3" s="316"/>
      <c r="H3" s="5"/>
      <c r="I3" s="5"/>
      <c r="J3" s="5"/>
      <c r="K3" s="5"/>
    </row>
    <row r="4" spans="1:12">
      <c r="D4" s="315"/>
      <c r="E4" s="315"/>
      <c r="F4" s="315"/>
      <c r="G4" s="316"/>
      <c r="H4" s="5"/>
      <c r="I4" s="5"/>
      <c r="J4" s="5"/>
      <c r="K4" s="5"/>
    </row>
    <row r="5" spans="1:12">
      <c r="D5" s="315"/>
      <c r="E5" s="315"/>
      <c r="F5" s="315"/>
      <c r="G5" s="316"/>
      <c r="H5" s="5"/>
      <c r="I5" s="5"/>
      <c r="J5" s="5"/>
      <c r="K5" s="5"/>
    </row>
    <row r="6" spans="1:12" ht="33">
      <c r="A6" s="203" t="s">
        <v>323</v>
      </c>
      <c r="D6" s="200"/>
      <c r="E6" s="200"/>
      <c r="F6" s="200"/>
      <c r="G6" s="5"/>
      <c r="H6" s="5"/>
      <c r="I6" s="5"/>
      <c r="J6" s="5"/>
      <c r="K6" s="5"/>
    </row>
    <row r="7" spans="1:12" ht="13.5" customHeight="1">
      <c r="D7" s="200"/>
      <c r="E7" s="200"/>
      <c r="F7" s="200"/>
      <c r="G7" s="201"/>
      <c r="H7" s="202"/>
      <c r="I7" s="202"/>
      <c r="J7" s="204"/>
      <c r="K7" s="204"/>
    </row>
    <row r="8" spans="1:12">
      <c r="A8" s="206" t="s">
        <v>348</v>
      </c>
      <c r="B8" s="207"/>
      <c r="C8" s="207"/>
      <c r="D8" s="207"/>
      <c r="E8" s="207"/>
      <c r="F8" s="207"/>
      <c r="G8" s="207"/>
      <c r="H8" s="207"/>
      <c r="I8" s="207"/>
      <c r="J8" s="207"/>
      <c r="K8" s="190"/>
      <c r="L8" s="190"/>
    </row>
    <row r="9" spans="1:12" ht="15" thickBot="1">
      <c r="A9" s="208" t="s">
        <v>322</v>
      </c>
      <c r="B9" s="179"/>
      <c r="C9" s="179"/>
      <c r="D9" s="179"/>
      <c r="E9" s="179"/>
      <c r="F9" s="179"/>
      <c r="G9" s="179"/>
      <c r="H9" s="179"/>
      <c r="I9" s="179"/>
      <c r="J9" s="179"/>
      <c r="K9" s="190"/>
      <c r="L9" s="190"/>
    </row>
    <row r="10" spans="1:12" ht="12" customHeight="1">
      <c r="A10" s="180"/>
      <c r="B10" s="181" t="s">
        <v>268</v>
      </c>
      <c r="C10" s="181" t="s">
        <v>269</v>
      </c>
      <c r="D10" s="181" t="s">
        <v>270</v>
      </c>
      <c r="E10" s="181" t="s">
        <v>271</v>
      </c>
      <c r="F10" s="181" t="s">
        <v>272</v>
      </c>
      <c r="G10" s="181" t="s">
        <v>273</v>
      </c>
      <c r="H10" s="181" t="s">
        <v>274</v>
      </c>
      <c r="I10" s="181" t="s">
        <v>275</v>
      </c>
      <c r="J10" s="182"/>
    </row>
    <row r="11" spans="1:12" ht="12" customHeight="1">
      <c r="A11" s="183" t="s">
        <v>279</v>
      </c>
      <c r="B11" s="184"/>
      <c r="C11" s="184"/>
      <c r="D11" s="184"/>
      <c r="E11" s="184"/>
      <c r="F11" s="184"/>
      <c r="G11" s="184"/>
      <c r="H11" s="184"/>
      <c r="I11" s="184"/>
      <c r="J11" s="182"/>
    </row>
    <row r="12" spans="1:12" ht="12" customHeight="1">
      <c r="A12" s="185" t="s">
        <v>319</v>
      </c>
      <c r="B12" s="186">
        <v>31</v>
      </c>
      <c r="C12" s="186" t="s">
        <v>320</v>
      </c>
      <c r="D12" s="186">
        <v>144</v>
      </c>
      <c r="E12" s="186">
        <v>83</v>
      </c>
      <c r="F12" s="186">
        <v>146</v>
      </c>
      <c r="G12" s="186">
        <v>41</v>
      </c>
      <c r="H12" s="186">
        <v>74</v>
      </c>
      <c r="I12" s="186">
        <v>116</v>
      </c>
      <c r="J12" s="182"/>
    </row>
    <row r="13" spans="1:12" ht="12" customHeight="1">
      <c r="A13" s="180" t="s">
        <v>277</v>
      </c>
      <c r="B13" s="184">
        <v>39</v>
      </c>
      <c r="C13" s="184" t="s">
        <v>320</v>
      </c>
      <c r="D13" s="184">
        <v>180</v>
      </c>
      <c r="E13" s="184">
        <v>104</v>
      </c>
      <c r="F13" s="184">
        <v>181</v>
      </c>
      <c r="G13" s="184">
        <v>54</v>
      </c>
      <c r="H13" s="184">
        <v>91</v>
      </c>
      <c r="I13" s="184">
        <v>152</v>
      </c>
      <c r="J13" s="182"/>
    </row>
    <row r="14" spans="1:12" ht="12" customHeight="1">
      <c r="A14" s="180" t="s">
        <v>278</v>
      </c>
      <c r="B14" s="184">
        <v>25</v>
      </c>
      <c r="C14" s="184" t="s">
        <v>320</v>
      </c>
      <c r="D14" s="184">
        <v>110</v>
      </c>
      <c r="E14" s="184">
        <v>59</v>
      </c>
      <c r="F14" s="184">
        <v>116</v>
      </c>
      <c r="G14" s="184">
        <v>31</v>
      </c>
      <c r="H14" s="184">
        <v>54</v>
      </c>
      <c r="I14" s="184">
        <v>86</v>
      </c>
      <c r="J14" s="182"/>
    </row>
    <row r="15" spans="1:12" ht="12" customHeight="1">
      <c r="A15" s="183" t="s">
        <v>314</v>
      </c>
      <c r="B15" s="184"/>
      <c r="C15" s="184"/>
      <c r="D15" s="184"/>
      <c r="E15" s="184"/>
      <c r="F15" s="184"/>
      <c r="G15" s="184"/>
      <c r="H15" s="184"/>
      <c r="I15" s="184"/>
      <c r="J15" s="182"/>
    </row>
    <row r="16" spans="1:12" ht="12" customHeight="1">
      <c r="A16" s="185" t="s">
        <v>319</v>
      </c>
      <c r="B16" s="186">
        <v>115</v>
      </c>
      <c r="C16" s="186" t="s">
        <v>320</v>
      </c>
      <c r="D16" s="186">
        <v>207</v>
      </c>
      <c r="E16" s="186">
        <v>174</v>
      </c>
      <c r="F16" s="186">
        <v>208</v>
      </c>
      <c r="G16" s="186">
        <v>130</v>
      </c>
      <c r="H16" s="186">
        <v>183</v>
      </c>
      <c r="I16" s="186">
        <v>197</v>
      </c>
      <c r="J16" s="182"/>
    </row>
    <row r="17" spans="1:10" ht="12" customHeight="1">
      <c r="A17" s="180" t="s">
        <v>277</v>
      </c>
      <c r="B17" s="184">
        <v>154</v>
      </c>
      <c r="C17" s="184" t="s">
        <v>320</v>
      </c>
      <c r="D17" s="184">
        <v>247</v>
      </c>
      <c r="E17" s="184">
        <v>208</v>
      </c>
      <c r="F17" s="184">
        <v>248</v>
      </c>
      <c r="G17" s="184">
        <v>165</v>
      </c>
      <c r="H17" s="184">
        <v>224</v>
      </c>
      <c r="I17" s="184">
        <v>232</v>
      </c>
      <c r="J17" s="182"/>
    </row>
    <row r="18" spans="1:10" ht="12" customHeight="1">
      <c r="A18" s="180" t="s">
        <v>278</v>
      </c>
      <c r="B18" s="184">
        <v>82</v>
      </c>
      <c r="C18" s="184" t="s">
        <v>320</v>
      </c>
      <c r="D18" s="184">
        <v>170</v>
      </c>
      <c r="E18" s="184">
        <v>145</v>
      </c>
      <c r="F18" s="184">
        <v>172</v>
      </c>
      <c r="G18" s="184">
        <v>113</v>
      </c>
      <c r="H18" s="184">
        <v>145</v>
      </c>
      <c r="I18" s="184">
        <v>165</v>
      </c>
      <c r="J18" s="182"/>
    </row>
    <row r="19" spans="1:10" ht="12" customHeight="1">
      <c r="A19" s="183" t="s">
        <v>315</v>
      </c>
      <c r="B19" s="184"/>
      <c r="C19" s="184"/>
      <c r="D19" s="184"/>
      <c r="E19" s="184"/>
      <c r="F19" s="184"/>
      <c r="G19" s="184"/>
      <c r="H19" s="184"/>
      <c r="I19" s="184"/>
      <c r="J19" s="182"/>
    </row>
    <row r="20" spans="1:10" ht="12" customHeight="1">
      <c r="A20" s="185" t="s">
        <v>319</v>
      </c>
      <c r="B20" s="186">
        <v>140</v>
      </c>
      <c r="C20" s="186">
        <v>167</v>
      </c>
      <c r="D20" s="186">
        <v>232</v>
      </c>
      <c r="E20" s="186">
        <v>193</v>
      </c>
      <c r="F20" s="186">
        <v>234</v>
      </c>
      <c r="G20" s="186">
        <v>162</v>
      </c>
      <c r="H20" s="186">
        <v>198</v>
      </c>
      <c r="I20" s="186">
        <v>214</v>
      </c>
      <c r="J20" s="182"/>
    </row>
    <row r="21" spans="1:10" ht="12" customHeight="1">
      <c r="A21" s="180" t="s">
        <v>277</v>
      </c>
      <c r="B21" s="184">
        <v>175</v>
      </c>
      <c r="C21" s="184">
        <v>190</v>
      </c>
      <c r="D21" s="184">
        <v>281</v>
      </c>
      <c r="E21" s="184">
        <v>229</v>
      </c>
      <c r="F21" s="184">
        <v>283</v>
      </c>
      <c r="G21" s="184">
        <v>201</v>
      </c>
      <c r="H21" s="184">
        <v>237</v>
      </c>
      <c r="I21" s="184">
        <v>256</v>
      </c>
      <c r="J21" s="182"/>
    </row>
    <row r="22" spans="1:10" ht="12" customHeight="1">
      <c r="A22" s="180" t="s">
        <v>278</v>
      </c>
      <c r="B22" s="184">
        <v>114</v>
      </c>
      <c r="C22" s="184">
        <v>125</v>
      </c>
      <c r="D22" s="184">
        <v>181</v>
      </c>
      <c r="E22" s="184">
        <v>157</v>
      </c>
      <c r="F22" s="184">
        <v>198</v>
      </c>
      <c r="G22" s="184">
        <v>137</v>
      </c>
      <c r="H22" s="184">
        <v>156</v>
      </c>
      <c r="I22" s="184">
        <v>178</v>
      </c>
      <c r="J22" s="182"/>
    </row>
    <row r="23" spans="1:10" ht="12" customHeight="1">
      <c r="A23" s="183" t="s">
        <v>316</v>
      </c>
      <c r="B23" s="184"/>
      <c r="C23" s="184"/>
      <c r="D23" s="184"/>
      <c r="E23" s="184"/>
      <c r="F23" s="184"/>
      <c r="G23" s="184"/>
      <c r="H23" s="184"/>
      <c r="I23" s="184"/>
      <c r="J23" s="182"/>
    </row>
    <row r="24" spans="1:10" ht="12" customHeight="1">
      <c r="A24" s="185" t="s">
        <v>319</v>
      </c>
      <c r="B24" s="184" t="s">
        <v>320</v>
      </c>
      <c r="C24" s="184" t="s">
        <v>320</v>
      </c>
      <c r="D24" s="184">
        <v>124</v>
      </c>
      <c r="E24" s="184">
        <v>71</v>
      </c>
      <c r="F24" s="184">
        <v>118</v>
      </c>
      <c r="G24" s="184" t="s">
        <v>320</v>
      </c>
      <c r="H24" s="184" t="s">
        <v>320</v>
      </c>
      <c r="I24" s="184" t="s">
        <v>320</v>
      </c>
      <c r="J24" s="182"/>
    </row>
    <row r="25" spans="1:10" ht="12" customHeight="1">
      <c r="A25" s="180" t="s">
        <v>277</v>
      </c>
      <c r="B25" s="184" t="s">
        <v>320</v>
      </c>
      <c r="C25" s="184" t="s">
        <v>320</v>
      </c>
      <c r="D25" s="184">
        <v>153</v>
      </c>
      <c r="E25" s="184">
        <v>95</v>
      </c>
      <c r="F25" s="184">
        <v>134</v>
      </c>
      <c r="G25" s="184" t="s">
        <v>320</v>
      </c>
      <c r="H25" s="184" t="s">
        <v>320</v>
      </c>
      <c r="I25" s="184" t="s">
        <v>320</v>
      </c>
      <c r="J25" s="182"/>
    </row>
    <row r="26" spans="1:10" ht="12" customHeight="1">
      <c r="A26" s="180" t="s">
        <v>278</v>
      </c>
      <c r="B26" s="184" t="s">
        <v>320</v>
      </c>
      <c r="C26" s="184" t="s">
        <v>320</v>
      </c>
      <c r="D26" s="184">
        <v>103</v>
      </c>
      <c r="E26" s="184">
        <v>55</v>
      </c>
      <c r="F26" s="184">
        <v>100</v>
      </c>
      <c r="G26" s="184" t="s">
        <v>320</v>
      </c>
      <c r="H26" s="184" t="s">
        <v>320</v>
      </c>
      <c r="I26" s="184" t="s">
        <v>320</v>
      </c>
      <c r="J26" s="182"/>
    </row>
    <row r="27" spans="1:10" ht="12" customHeight="1">
      <c r="A27" s="183" t="s">
        <v>317</v>
      </c>
      <c r="B27" s="184"/>
      <c r="C27" s="184"/>
      <c r="D27" s="184"/>
      <c r="E27" s="184"/>
      <c r="F27" s="184"/>
      <c r="G27" s="184"/>
      <c r="H27" s="184"/>
      <c r="I27" s="184"/>
      <c r="J27" s="182"/>
    </row>
    <row r="28" spans="1:10" ht="12" customHeight="1">
      <c r="A28" s="185" t="s">
        <v>319</v>
      </c>
      <c r="B28" s="184" t="s">
        <v>320</v>
      </c>
      <c r="C28" s="184" t="s">
        <v>320</v>
      </c>
      <c r="D28" s="184" t="s">
        <v>320</v>
      </c>
      <c r="E28" s="184">
        <v>153</v>
      </c>
      <c r="F28" s="184" t="s">
        <v>320</v>
      </c>
      <c r="G28" s="184" t="s">
        <v>320</v>
      </c>
      <c r="H28" s="184" t="s">
        <v>320</v>
      </c>
      <c r="I28" s="184" t="s">
        <v>320</v>
      </c>
      <c r="J28" s="182"/>
    </row>
    <row r="29" spans="1:10" ht="12" customHeight="1">
      <c r="A29" s="180" t="s">
        <v>277</v>
      </c>
      <c r="B29" s="184" t="s">
        <v>320</v>
      </c>
      <c r="C29" s="184" t="s">
        <v>320</v>
      </c>
      <c r="D29" s="184" t="s">
        <v>320</v>
      </c>
      <c r="E29" s="184">
        <v>183</v>
      </c>
      <c r="F29" s="184" t="s">
        <v>320</v>
      </c>
      <c r="G29" s="184" t="s">
        <v>320</v>
      </c>
      <c r="H29" s="184" t="s">
        <v>320</v>
      </c>
      <c r="I29" s="184" t="s">
        <v>320</v>
      </c>
      <c r="J29" s="182"/>
    </row>
    <row r="30" spans="1:10" ht="12" customHeight="1">
      <c r="A30" s="180" t="s">
        <v>278</v>
      </c>
      <c r="B30" s="186" t="s">
        <v>320</v>
      </c>
      <c r="C30" s="186" t="s">
        <v>320</v>
      </c>
      <c r="D30" s="186" t="s">
        <v>320</v>
      </c>
      <c r="E30" s="186">
        <v>108</v>
      </c>
      <c r="F30" s="186" t="s">
        <v>320</v>
      </c>
      <c r="G30" s="186" t="s">
        <v>320</v>
      </c>
      <c r="H30" s="186" t="s">
        <v>320</v>
      </c>
      <c r="I30" s="186" t="s">
        <v>320</v>
      </c>
      <c r="J30" s="182"/>
    </row>
    <row r="31" spans="1:10" ht="12" customHeight="1">
      <c r="A31" s="183" t="s">
        <v>318</v>
      </c>
      <c r="B31" s="184"/>
      <c r="C31" s="184"/>
      <c r="D31" s="184"/>
      <c r="E31" s="184"/>
      <c r="F31" s="184"/>
      <c r="G31" s="184"/>
      <c r="H31" s="184"/>
      <c r="I31" s="184"/>
      <c r="J31" s="182"/>
    </row>
    <row r="32" spans="1:10" ht="12" customHeight="1">
      <c r="A32" s="185" t="s">
        <v>319</v>
      </c>
      <c r="B32" s="184">
        <v>27</v>
      </c>
      <c r="C32" s="184">
        <v>29</v>
      </c>
      <c r="D32" s="184">
        <v>52</v>
      </c>
      <c r="E32" s="184">
        <v>57</v>
      </c>
      <c r="F32" s="184">
        <v>61</v>
      </c>
      <c r="G32" s="184" t="s">
        <v>320</v>
      </c>
      <c r="H32" s="184" t="s">
        <v>320</v>
      </c>
      <c r="I32" s="184" t="s">
        <v>320</v>
      </c>
      <c r="J32" s="182"/>
    </row>
    <row r="33" spans="1:10" ht="12" customHeight="1">
      <c r="A33" s="180" t="s">
        <v>277</v>
      </c>
      <c r="B33" s="184">
        <v>35</v>
      </c>
      <c r="C33" s="184">
        <v>39</v>
      </c>
      <c r="D33" s="184">
        <v>63</v>
      </c>
      <c r="E33" s="184">
        <v>75</v>
      </c>
      <c r="F33" s="184">
        <v>75</v>
      </c>
      <c r="G33" s="184" t="s">
        <v>320</v>
      </c>
      <c r="H33" s="184" t="s">
        <v>320</v>
      </c>
      <c r="I33" s="184" t="s">
        <v>320</v>
      </c>
      <c r="J33" s="182"/>
    </row>
    <row r="34" spans="1:10" ht="12" customHeight="1">
      <c r="A34" s="187" t="s">
        <v>278</v>
      </c>
      <c r="B34" s="205">
        <v>21</v>
      </c>
      <c r="C34" s="205">
        <v>23</v>
      </c>
      <c r="D34" s="205">
        <v>37</v>
      </c>
      <c r="E34" s="205">
        <v>41</v>
      </c>
      <c r="F34" s="205">
        <v>46</v>
      </c>
      <c r="G34" s="205" t="s">
        <v>320</v>
      </c>
      <c r="H34" s="205" t="s">
        <v>320</v>
      </c>
      <c r="I34" s="205" t="s">
        <v>320</v>
      </c>
      <c r="J34" s="189"/>
    </row>
    <row r="35" spans="1:10" ht="12" customHeight="1">
      <c r="B35" s="184"/>
      <c r="C35" s="184"/>
      <c r="D35" s="184"/>
      <c r="E35" s="184"/>
      <c r="F35" s="184"/>
      <c r="G35" s="184"/>
      <c r="H35" s="184"/>
      <c r="I35" s="184"/>
      <c r="J35" s="190"/>
    </row>
    <row r="36" spans="1:10" ht="15" thickBot="1">
      <c r="A36" s="178" t="s">
        <v>349</v>
      </c>
      <c r="B36" s="179"/>
      <c r="C36" s="179"/>
      <c r="D36" s="179"/>
      <c r="E36" s="179"/>
      <c r="F36" s="179"/>
      <c r="G36" s="179"/>
      <c r="H36" s="179"/>
      <c r="I36" s="179"/>
      <c r="J36" s="179"/>
    </row>
    <row r="37" spans="1:10">
      <c r="A37" s="180"/>
      <c r="B37" s="181" t="s">
        <v>268</v>
      </c>
      <c r="C37" s="181" t="s">
        <v>269</v>
      </c>
      <c r="D37" s="181" t="s">
        <v>270</v>
      </c>
      <c r="E37" s="181" t="s">
        <v>271</v>
      </c>
      <c r="F37" s="181" t="s">
        <v>272</v>
      </c>
      <c r="G37" s="181" t="s">
        <v>273</v>
      </c>
      <c r="H37" s="181" t="s">
        <v>274</v>
      </c>
      <c r="I37" s="181" t="s">
        <v>275</v>
      </c>
      <c r="J37" s="182"/>
    </row>
    <row r="38" spans="1:10">
      <c r="A38" s="183" t="s">
        <v>276</v>
      </c>
      <c r="B38" s="184"/>
      <c r="C38" s="184"/>
      <c r="D38" s="184"/>
      <c r="E38" s="184"/>
      <c r="F38" s="184"/>
      <c r="G38" s="184"/>
      <c r="H38" s="184"/>
      <c r="I38" s="184"/>
      <c r="J38" s="182"/>
    </row>
    <row r="39" spans="1:10">
      <c r="A39" s="185" t="s">
        <v>319</v>
      </c>
      <c r="B39" s="186">
        <v>475</v>
      </c>
      <c r="C39" s="186">
        <v>715</v>
      </c>
      <c r="D39" s="186">
        <v>2740</v>
      </c>
      <c r="E39" s="186">
        <v>1365</v>
      </c>
      <c r="F39" s="186">
        <v>3330</v>
      </c>
      <c r="G39" s="186">
        <v>735</v>
      </c>
      <c r="H39" s="186">
        <v>1380</v>
      </c>
      <c r="I39" s="186">
        <v>2410</v>
      </c>
      <c r="J39" s="182"/>
    </row>
    <row r="40" spans="1:10">
      <c r="A40" s="180" t="s">
        <v>277</v>
      </c>
      <c r="B40" s="184">
        <v>620</v>
      </c>
      <c r="C40" s="184">
        <v>990</v>
      </c>
      <c r="D40" s="184">
        <v>3650</v>
      </c>
      <c r="E40" s="184">
        <v>1650</v>
      </c>
      <c r="F40" s="184">
        <v>4100</v>
      </c>
      <c r="G40" s="184">
        <v>955</v>
      </c>
      <c r="H40" s="184">
        <v>1685</v>
      </c>
      <c r="I40" s="184">
        <v>3015</v>
      </c>
      <c r="J40" s="182"/>
    </row>
    <row r="41" spans="1:10">
      <c r="A41" s="187" t="s">
        <v>278</v>
      </c>
      <c r="B41" s="188">
        <v>380</v>
      </c>
      <c r="C41" s="188">
        <v>545</v>
      </c>
      <c r="D41" s="188">
        <v>2240</v>
      </c>
      <c r="E41" s="188">
        <v>910</v>
      </c>
      <c r="F41" s="188">
        <v>2490</v>
      </c>
      <c r="G41" s="188">
        <v>545</v>
      </c>
      <c r="H41" s="188">
        <v>985</v>
      </c>
      <c r="I41" s="188">
        <v>1800</v>
      </c>
      <c r="J41" s="189"/>
    </row>
    <row r="42" spans="1:10">
      <c r="A42" s="190"/>
      <c r="B42" s="184"/>
      <c r="C42" s="184"/>
      <c r="D42" s="184"/>
      <c r="E42" s="184"/>
      <c r="F42" s="184"/>
      <c r="G42" s="184"/>
      <c r="H42" s="184"/>
      <c r="I42" s="184"/>
      <c r="J42" s="190"/>
    </row>
    <row r="43" spans="1:10" ht="15" thickBot="1">
      <c r="A43" s="313" t="s">
        <v>356</v>
      </c>
      <c r="B43" s="314"/>
      <c r="C43" s="314"/>
      <c r="D43" s="314"/>
      <c r="E43" s="314"/>
      <c r="F43" s="314"/>
      <c r="G43" s="314"/>
      <c r="H43" s="314"/>
      <c r="I43" s="314"/>
      <c r="J43" s="314"/>
    </row>
    <row r="44" spans="1:10">
      <c r="A44" s="180"/>
      <c r="B44" s="181" t="s">
        <v>268</v>
      </c>
      <c r="C44" s="181" t="s">
        <v>269</v>
      </c>
      <c r="D44" s="181" t="s">
        <v>270</v>
      </c>
      <c r="E44" s="181" t="s">
        <v>271</v>
      </c>
      <c r="F44" s="181" t="s">
        <v>272</v>
      </c>
      <c r="G44" s="181" t="s">
        <v>273</v>
      </c>
      <c r="H44" s="181" t="s">
        <v>274</v>
      </c>
      <c r="I44" s="181" t="s">
        <v>275</v>
      </c>
      <c r="J44" s="182"/>
    </row>
    <row r="45" spans="1:10">
      <c r="A45" s="183" t="s">
        <v>279</v>
      </c>
      <c r="B45" s="184"/>
      <c r="C45" s="184"/>
      <c r="D45" s="184"/>
      <c r="E45" s="184"/>
      <c r="F45" s="184"/>
      <c r="G45" s="184"/>
      <c r="H45" s="184"/>
      <c r="I45" s="184"/>
      <c r="J45" s="182"/>
    </row>
    <row r="46" spans="1:10">
      <c r="A46" s="187"/>
      <c r="B46" s="191">
        <v>0.04</v>
      </c>
      <c r="C46" s="191">
        <v>3.5000000000000003E-2</v>
      </c>
      <c r="D46" s="191">
        <v>4.1000000000000002E-2</v>
      </c>
      <c r="E46" s="191">
        <v>3.6999999999999998E-2</v>
      </c>
      <c r="F46" s="191">
        <v>3.2000000000000001E-2</v>
      </c>
      <c r="G46" s="191">
        <v>4.1000000000000002E-2</v>
      </c>
      <c r="H46" s="191">
        <v>0.04</v>
      </c>
      <c r="I46" s="191">
        <v>3.6999999999999998E-2</v>
      </c>
      <c r="J46" s="189"/>
    </row>
    <row r="48" spans="1:10">
      <c r="A48" s="192" t="s">
        <v>357</v>
      </c>
    </row>
    <row r="49" spans="1:1">
      <c r="A49" s="192" t="s">
        <v>321</v>
      </c>
    </row>
    <row r="50" spans="1:1">
      <c r="A50" s="192"/>
    </row>
    <row r="51" spans="1:1">
      <c r="A51" s="193" t="s">
        <v>280</v>
      </c>
    </row>
    <row r="71" spans="1:2">
      <c r="A71" s="193" t="s">
        <v>311</v>
      </c>
    </row>
    <row r="72" spans="1:2">
      <c r="A72" s="1" t="s">
        <v>281</v>
      </c>
    </row>
    <row r="73" spans="1:2">
      <c r="B73" s="194" t="s">
        <v>282</v>
      </c>
    </row>
    <row r="74" spans="1:2">
      <c r="A74" s="1" t="s">
        <v>354</v>
      </c>
    </row>
    <row r="75" spans="1:2">
      <c r="B75" s="194" t="s">
        <v>283</v>
      </c>
    </row>
    <row r="76" spans="1:2">
      <c r="A76" s="1" t="s">
        <v>355</v>
      </c>
    </row>
    <row r="77" spans="1:2">
      <c r="B77" s="194" t="s">
        <v>284</v>
      </c>
    </row>
    <row r="78" spans="1:2">
      <c r="B78" s="194" t="s">
        <v>285</v>
      </c>
    </row>
    <row r="79" spans="1:2">
      <c r="A79" s="1" t="s">
        <v>286</v>
      </c>
    </row>
    <row r="80" spans="1:2">
      <c r="B80" s="194" t="s">
        <v>287</v>
      </c>
    </row>
    <row r="82" spans="1:1">
      <c r="A82" s="193" t="s">
        <v>305</v>
      </c>
    </row>
    <row r="83" spans="1:1">
      <c r="A83" s="1" t="s">
        <v>306</v>
      </c>
    </row>
    <row r="84" spans="1:1">
      <c r="A84" s="1" t="s">
        <v>307</v>
      </c>
    </row>
    <row r="85" spans="1:1">
      <c r="A85" s="1" t="s">
        <v>308</v>
      </c>
    </row>
    <row r="86" spans="1:1">
      <c r="A86" s="1" t="s">
        <v>309</v>
      </c>
    </row>
    <row r="87" spans="1:1">
      <c r="A87" s="194" t="s">
        <v>310</v>
      </c>
    </row>
    <row r="89" spans="1:1">
      <c r="A89" s="193" t="s">
        <v>350</v>
      </c>
    </row>
    <row r="90" spans="1:1">
      <c r="A90" s="1" t="s">
        <v>351</v>
      </c>
    </row>
    <row r="91" spans="1:1">
      <c r="A91" s="1" t="s">
        <v>352</v>
      </c>
    </row>
    <row r="92" spans="1:1">
      <c r="A92" s="194" t="s">
        <v>353</v>
      </c>
    </row>
    <row r="93" spans="1:1">
      <c r="A93" s="194"/>
    </row>
  </sheetData>
  <sheetProtection password="C1B5" sheet="1" objects="1" scenarios="1"/>
  <mergeCells count="2">
    <mergeCell ref="A43:J43"/>
    <mergeCell ref="D1:G5"/>
  </mergeCells>
  <phoneticPr fontId="0" type="noConversion"/>
  <hyperlinks>
    <hyperlink ref="B73" r:id="rId1"/>
    <hyperlink ref="B75" r:id="rId2" location="search=%222006%20crop%20budgets%22"/>
    <hyperlink ref="B77" r:id="rId3"/>
    <hyperlink ref="B78" r:id="rId4"/>
    <hyperlink ref="B80" r:id="rId5"/>
    <hyperlink ref="A87" r:id="rId6"/>
    <hyperlink ref="A92" r:id="rId7"/>
  </hyperlinks>
  <pageMargins left="0.5" right="0.5" top="1" bottom="1" header="0.5" footer="0.5"/>
  <pageSetup orientation="portrait" horizontalDpi="300" verticalDpi="300" r:id="rId8"/>
  <headerFooter alignWithMargins="0"/>
  <cellWatches>
    <cellWatch r="J1"/>
  </cellWatches>
  <drawing r:id="rId9"/>
  <legacy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Intro</vt:lpstr>
      <vt:lpstr>Inputs</vt:lpstr>
      <vt:lpstr>Shares</vt:lpstr>
      <vt:lpstr>Cash Summary</vt:lpstr>
      <vt:lpstr>Cash Sensitivity</vt:lpstr>
      <vt:lpstr>Share Summary</vt:lpstr>
      <vt:lpstr>Share Sensitivity</vt:lpstr>
      <vt:lpstr>Data Sources</vt:lpstr>
      <vt:lpstr>'Cash Sensitivity'!Print_Area</vt:lpstr>
      <vt:lpstr>'Cash Summary'!Print_Area</vt:lpstr>
      <vt:lpstr>'Data Sources'!Print_Area</vt:lpstr>
      <vt:lpstr>Inputs!Print_Area</vt:lpstr>
      <vt:lpstr>'Share Sensitivity'!Print_Area</vt:lpstr>
      <vt:lpstr>'Share Summary'!Print_Area</vt:lpstr>
      <vt:lpstr>Shares!Print_Area</vt:lpstr>
    </vt:vector>
  </TitlesOfParts>
  <Company>University of Nebraska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C. Raymond</dc:creator>
  <cp:lastModifiedBy>cffmuser</cp:lastModifiedBy>
  <cp:lastPrinted>2011-03-15T19:56:41Z</cp:lastPrinted>
  <dcterms:created xsi:type="dcterms:W3CDTF">2006-08-30T18:14:49Z</dcterms:created>
  <dcterms:modified xsi:type="dcterms:W3CDTF">2011-04-22T20:46:19Z</dcterms:modified>
</cp:coreProperties>
</file>